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2.xml" ContentType="application/vnd.openxmlformats-officedocument.drawing+xml"/>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drawings/drawing3.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drawings/drawing4.xml" ContentType="application/vnd.openxmlformats-officedocument.drawing+xml"/>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drawings/drawing5.xml" ContentType="application/vnd.openxmlformats-officedocument.drawing+xml"/>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80" yWindow="-15" windowWidth="19545" windowHeight="7530" tabRatio="764" activeTab="5"/>
  </bookViews>
  <sheets>
    <sheet name="Score Report Form" sheetId="8" r:id="rId1"/>
    <sheet name="Modified Rules - " sheetId="7" r:id="rId2"/>
    <sheet name="Facility Information" sheetId="12" r:id="rId3"/>
    <sheet name="AES teams" sheetId="9" r:id="rId4"/>
    <sheet name="RatingResultsSummary" sheetId="39" r:id="rId5"/>
    <sheet name="AM 9 Team Pool - Rnd 3" sheetId="19" r:id="rId6"/>
    <sheet name="AM 9 Team Pool - Rnd 2" sheetId="18" r:id="rId7"/>
    <sheet name="AM 9 Team Pool - Rnd 1" sheetId="17" r:id="rId8"/>
    <sheet name="11TmPM Rd 2" sheetId="31" r:id="rId9"/>
    <sheet name="11TmPM Rd 1" sheetId="30" r:id="rId10"/>
    <sheet name="Initial" sheetId="25" r:id="rId11"/>
    <sheet name="Final" sheetId="40" r:id="rId12"/>
    <sheet name="Final-PM" sheetId="41" r:id="rId13"/>
  </sheets>
  <externalReferences>
    <externalReference r:id="rId14"/>
    <externalReference r:id="rId15"/>
    <externalReference r:id="rId16"/>
    <externalReference r:id="rId17"/>
    <externalReference r:id="rId18"/>
    <externalReference r:id="rId19"/>
  </externalReferences>
  <definedNames>
    <definedName name="div" localSheetId="9">#REF!</definedName>
    <definedName name="div" localSheetId="8">#REF!</definedName>
    <definedName name="div" localSheetId="11">#REF!</definedName>
    <definedName name="div" localSheetId="12">#REF!</definedName>
    <definedName name="div" localSheetId="0">#N/A</definedName>
    <definedName name="div">#REF!</definedName>
    <definedName name="DormanTM" localSheetId="9">#REF!</definedName>
    <definedName name="DormanTM" localSheetId="8">#REF!</definedName>
    <definedName name="DormanTM" localSheetId="11">#REF!</definedName>
    <definedName name="DormanTM" localSheetId="12">#REF!</definedName>
    <definedName name="DormanTM" localSheetId="0">#N/A</definedName>
    <definedName name="DormanTM">#REF!</definedName>
    <definedName name="mizuno" localSheetId="9">#REF!</definedName>
    <definedName name="mizuno" localSheetId="8">#REF!</definedName>
    <definedName name="mizuno" localSheetId="11">#REF!</definedName>
    <definedName name="mizuno" localSheetId="12">#REF!</definedName>
    <definedName name="mizuno" localSheetId="0">#N/A</definedName>
    <definedName name="mizuno">#REF!</definedName>
    <definedName name="Playoff_K" localSheetId="9">[4]Example!$AS$3</definedName>
    <definedName name="Playoff_K" localSheetId="8">[4]Example!$AS$3</definedName>
    <definedName name="Playoff_K" localSheetId="0">#N/A</definedName>
    <definedName name="Playoff_K">[1]Example!$AS$3</definedName>
    <definedName name="Pool_K" localSheetId="9">[4]Example!$AS$2</definedName>
    <definedName name="Pool_K" localSheetId="8">[4]Example!$AS$2</definedName>
    <definedName name="Pool_K" localSheetId="0">#N/A</definedName>
    <definedName name="Pool_K">[1]Example!$AS$2</definedName>
    <definedName name="_xlnm.Print_Area" localSheetId="9">'11TmPM Rd 1'!$A$1:$AR$260,'11TmPM Rd 1'!$A$273:$AR$373</definedName>
    <definedName name="_xlnm.Print_Area" localSheetId="8">'11TmPM Rd 2'!$A$1:$AR$260,'11TmPM Rd 2'!$A$273:$AR$373</definedName>
    <definedName name="_xlnm.Print_Area" localSheetId="7">'AM 9 Team Pool - Rnd 1'!$A$1:$AQ$267</definedName>
    <definedName name="_xlnm.Print_Area" localSheetId="6">'AM 9 Team Pool - Rnd 2'!$A$1:$AQ$267</definedName>
    <definedName name="_xlnm.Print_Area" localSheetId="5">'AM 9 Team Pool - Rnd 3'!$A$1:$AQ$267</definedName>
    <definedName name="score" localSheetId="9">#REF!</definedName>
    <definedName name="score" localSheetId="8">#REF!</definedName>
    <definedName name="score" localSheetId="6">#REF!</definedName>
    <definedName name="score" localSheetId="5">#REF!</definedName>
    <definedName name="score" localSheetId="11">#REF!</definedName>
    <definedName name="score" localSheetId="12">#REF!</definedName>
    <definedName name="score" localSheetId="1">#REF!</definedName>
    <definedName name="score" localSheetId="0">#N/A</definedName>
    <definedName name="score">#REF!</definedName>
    <definedName name="sex" localSheetId="9">#REF!</definedName>
    <definedName name="sex" localSheetId="8">#REF!</definedName>
    <definedName name="sex" localSheetId="11">#REF!</definedName>
    <definedName name="sex" localSheetId="12">#REF!</definedName>
    <definedName name="sex" localSheetId="0">#N/A</definedName>
    <definedName name="sex">#REF!</definedName>
    <definedName name="UniformNeeds" localSheetId="9">#REF!</definedName>
    <definedName name="UniformNeeds" localSheetId="8">#REF!</definedName>
    <definedName name="UniformNeeds" localSheetId="11">#REF!</definedName>
    <definedName name="UniformNeeds" localSheetId="12">#REF!</definedName>
    <definedName name="UniformNeeds" localSheetId="0">#N/A</definedName>
    <definedName name="UniformNeeds">#REF!</definedName>
  </definedNames>
  <calcPr calcId="145621"/>
</workbook>
</file>

<file path=xl/calcChain.xml><?xml version="1.0" encoding="utf-8"?>
<calcChain xmlns="http://schemas.openxmlformats.org/spreadsheetml/2006/main">
  <c r="K265" i="41" l="1"/>
  <c r="F265" i="41"/>
  <c r="E265" i="41"/>
  <c r="K268" i="41"/>
  <c r="F268" i="41"/>
  <c r="E268" i="41"/>
  <c r="K266" i="41"/>
  <c r="F266" i="41"/>
  <c r="E266" i="41"/>
  <c r="K269" i="41"/>
  <c r="F269" i="41"/>
  <c r="E269" i="41"/>
  <c r="K267" i="41"/>
  <c r="F267" i="41"/>
  <c r="E267" i="41"/>
  <c r="K264" i="41"/>
  <c r="F264" i="41"/>
  <c r="E264" i="41"/>
  <c r="K263" i="41"/>
  <c r="F263" i="41"/>
  <c r="E263" i="41"/>
  <c r="K262" i="41"/>
  <c r="F262" i="41"/>
  <c r="E262" i="41"/>
  <c r="K254" i="41"/>
  <c r="F254" i="41"/>
  <c r="E254" i="41"/>
  <c r="K258" i="41"/>
  <c r="F258" i="41"/>
  <c r="E258" i="41"/>
  <c r="K257" i="41"/>
  <c r="F257" i="41"/>
  <c r="E257" i="41"/>
  <c r="K256" i="41"/>
  <c r="F256" i="41"/>
  <c r="E256" i="41"/>
  <c r="K260" i="41"/>
  <c r="F260" i="41"/>
  <c r="E260" i="41"/>
  <c r="K255" i="41"/>
  <c r="F255" i="41"/>
  <c r="E255" i="41"/>
  <c r="K259" i="41"/>
  <c r="F259" i="41"/>
  <c r="E259" i="41"/>
  <c r="K252" i="41"/>
  <c r="F252" i="41"/>
  <c r="E252" i="41"/>
  <c r="K261" i="41"/>
  <c r="F261" i="41"/>
  <c r="E261" i="41"/>
  <c r="K253" i="41"/>
  <c r="F253" i="41"/>
  <c r="E253" i="41"/>
  <c r="K251" i="41"/>
  <c r="F251" i="41"/>
  <c r="E251" i="41"/>
  <c r="K250" i="41"/>
  <c r="F250" i="41"/>
  <c r="E250" i="41"/>
  <c r="K249" i="41"/>
  <c r="F249" i="41"/>
  <c r="E249" i="41"/>
  <c r="K248" i="41"/>
  <c r="F248" i="41"/>
  <c r="E248" i="41"/>
  <c r="K247" i="41"/>
  <c r="F247" i="41"/>
  <c r="E247" i="41"/>
  <c r="K246" i="41"/>
  <c r="F246" i="41"/>
  <c r="E246" i="41"/>
  <c r="K243" i="41"/>
  <c r="F243" i="41"/>
  <c r="E243" i="41"/>
  <c r="K245" i="41"/>
  <c r="F245" i="41"/>
  <c r="E245" i="41"/>
  <c r="K242" i="41"/>
  <c r="F242" i="41"/>
  <c r="E242" i="41"/>
  <c r="K244" i="41"/>
  <c r="F244" i="41"/>
  <c r="E244" i="41"/>
  <c r="K238" i="41"/>
  <c r="F238" i="41"/>
  <c r="E238" i="41"/>
  <c r="K240" i="41"/>
  <c r="F240" i="41"/>
  <c r="E240" i="41"/>
  <c r="K239" i="41"/>
  <c r="F239" i="41"/>
  <c r="E239" i="41"/>
  <c r="K241" i="41"/>
  <c r="F241" i="41"/>
  <c r="E241" i="41"/>
  <c r="K237" i="41"/>
  <c r="F237" i="41"/>
  <c r="E237" i="41"/>
  <c r="K236" i="41"/>
  <c r="F236" i="41"/>
  <c r="E236" i="41"/>
  <c r="K233" i="41"/>
  <c r="F233" i="41"/>
  <c r="E233" i="41"/>
  <c r="K221" i="41"/>
  <c r="F221" i="41"/>
  <c r="E221" i="41"/>
  <c r="K235" i="41"/>
  <c r="F235" i="41"/>
  <c r="E235" i="41"/>
  <c r="K231" i="41"/>
  <c r="F231" i="41"/>
  <c r="E231" i="41"/>
  <c r="K225" i="41"/>
  <c r="F225" i="41"/>
  <c r="E225" i="41"/>
  <c r="K230" i="41"/>
  <c r="F230" i="41"/>
  <c r="E230" i="41"/>
  <c r="K229" i="41"/>
  <c r="F229" i="41"/>
  <c r="E229" i="41"/>
  <c r="K228" i="41"/>
  <c r="F228" i="41"/>
  <c r="E228" i="41"/>
  <c r="K222" i="41"/>
  <c r="F222" i="41"/>
  <c r="E222" i="41"/>
  <c r="K234" i="41"/>
  <c r="F234" i="41"/>
  <c r="E234" i="41"/>
  <c r="K227" i="41"/>
  <c r="F227" i="41"/>
  <c r="E227" i="41"/>
  <c r="K226" i="41"/>
  <c r="F226" i="41"/>
  <c r="E226" i="41"/>
  <c r="K232" i="41"/>
  <c r="F232" i="41"/>
  <c r="E232" i="41"/>
  <c r="K223" i="41"/>
  <c r="F223" i="41"/>
  <c r="E223" i="41"/>
  <c r="K224" i="41"/>
  <c r="F224" i="41"/>
  <c r="E224" i="41"/>
  <c r="K219" i="41"/>
  <c r="F219" i="41"/>
  <c r="E219" i="41"/>
  <c r="K218" i="41"/>
  <c r="F218" i="41"/>
  <c r="E218" i="41"/>
  <c r="K217" i="41"/>
  <c r="F217" i="41"/>
  <c r="E217" i="41"/>
  <c r="K216" i="41"/>
  <c r="F216" i="41"/>
  <c r="E216" i="41"/>
  <c r="K215" i="41"/>
  <c r="F215" i="41"/>
  <c r="E215" i="41"/>
  <c r="K214" i="41"/>
  <c r="F214" i="41"/>
  <c r="E214" i="41"/>
  <c r="K220" i="41"/>
  <c r="F220" i="41"/>
  <c r="E220" i="41"/>
  <c r="K213" i="41"/>
  <c r="F213" i="41"/>
  <c r="E213" i="41"/>
  <c r="K212" i="41"/>
  <c r="F212" i="41"/>
  <c r="E212" i="41"/>
  <c r="K209" i="41"/>
  <c r="F209" i="41"/>
  <c r="E209" i="41"/>
  <c r="K210" i="41"/>
  <c r="F210" i="41"/>
  <c r="E210" i="41"/>
  <c r="K211" i="41"/>
  <c r="F211" i="41"/>
  <c r="E211" i="41"/>
  <c r="K208" i="41"/>
  <c r="F208" i="41"/>
  <c r="E208" i="41"/>
  <c r="K207" i="41"/>
  <c r="F207" i="41"/>
  <c r="E207" i="41"/>
  <c r="K200" i="41"/>
  <c r="F200" i="41"/>
  <c r="E200" i="41"/>
  <c r="K206" i="41"/>
  <c r="F206" i="41"/>
  <c r="E206" i="41"/>
  <c r="K191" i="41"/>
  <c r="F191" i="41"/>
  <c r="E191" i="41"/>
  <c r="K199" i="41"/>
  <c r="F199" i="41"/>
  <c r="E199" i="41"/>
  <c r="K198" i="41"/>
  <c r="F198" i="41"/>
  <c r="E198" i="41"/>
  <c r="K193" i="41"/>
  <c r="F193" i="41"/>
  <c r="E193" i="41"/>
  <c r="K197" i="41"/>
  <c r="F197" i="41"/>
  <c r="E197" i="41"/>
  <c r="K196" i="41"/>
  <c r="F196" i="41"/>
  <c r="E196" i="41"/>
  <c r="K195" i="41"/>
  <c r="F195" i="41"/>
  <c r="E195" i="41"/>
  <c r="K194" i="41"/>
  <c r="F194" i="41"/>
  <c r="E194" i="41"/>
  <c r="K203" i="41"/>
  <c r="F203" i="41"/>
  <c r="E203" i="41"/>
  <c r="K202" i="41"/>
  <c r="F202" i="41"/>
  <c r="E202" i="41"/>
  <c r="K201" i="41"/>
  <c r="F201" i="41"/>
  <c r="E201" i="41"/>
  <c r="K205" i="41"/>
  <c r="F205" i="41"/>
  <c r="E205" i="41"/>
  <c r="K190" i="41"/>
  <c r="F190" i="41"/>
  <c r="E190" i="41"/>
  <c r="K204" i="41"/>
  <c r="F204" i="41"/>
  <c r="E204" i="41"/>
  <c r="K192" i="41"/>
  <c r="F192" i="41"/>
  <c r="E192" i="41"/>
  <c r="K186" i="41"/>
  <c r="F186" i="41"/>
  <c r="E186" i="41"/>
  <c r="K185" i="41"/>
  <c r="F185" i="41"/>
  <c r="E185" i="41"/>
  <c r="K179" i="41"/>
  <c r="F179" i="41"/>
  <c r="E179" i="41"/>
  <c r="K184" i="41"/>
  <c r="F184" i="41"/>
  <c r="E184" i="41"/>
  <c r="K183" i="41"/>
  <c r="F183" i="41"/>
  <c r="E183" i="41"/>
  <c r="K182" i="41"/>
  <c r="F182" i="41"/>
  <c r="E182" i="41"/>
  <c r="K181" i="41"/>
  <c r="F181" i="41"/>
  <c r="E181" i="41"/>
  <c r="K177" i="41"/>
  <c r="F177" i="41"/>
  <c r="E177" i="41"/>
  <c r="K189" i="41"/>
  <c r="F189" i="41"/>
  <c r="E189" i="41"/>
  <c r="K187" i="41"/>
  <c r="F187" i="41"/>
  <c r="E187" i="41"/>
  <c r="K178" i="41"/>
  <c r="F178" i="41"/>
  <c r="E178" i="41"/>
  <c r="K180" i="41"/>
  <c r="F180" i="41"/>
  <c r="E180" i="41"/>
  <c r="K188" i="41"/>
  <c r="F188" i="41"/>
  <c r="E188" i="41"/>
  <c r="K176" i="41"/>
  <c r="F176" i="41"/>
  <c r="E176" i="41"/>
  <c r="K175" i="41"/>
  <c r="F175" i="41"/>
  <c r="E175" i="41"/>
  <c r="K173" i="41"/>
  <c r="F173" i="41"/>
  <c r="E173" i="41"/>
  <c r="K171" i="41"/>
  <c r="F171" i="41"/>
  <c r="E171" i="41"/>
  <c r="K174" i="41"/>
  <c r="F174" i="41"/>
  <c r="E174" i="41"/>
  <c r="K163" i="41"/>
  <c r="F163" i="41"/>
  <c r="E163" i="41"/>
  <c r="K170" i="41"/>
  <c r="F170" i="41"/>
  <c r="E170" i="41"/>
  <c r="K162" i="41"/>
  <c r="F162" i="41"/>
  <c r="E162" i="41"/>
  <c r="K168" i="41"/>
  <c r="F168" i="41"/>
  <c r="E168" i="41"/>
  <c r="K167" i="41"/>
  <c r="F167" i="41"/>
  <c r="E167" i="41"/>
  <c r="K161" i="41"/>
  <c r="F161" i="41"/>
  <c r="E161" i="41"/>
  <c r="K152" i="41"/>
  <c r="F152" i="41"/>
  <c r="E152" i="41"/>
  <c r="K154" i="41"/>
  <c r="F154" i="41"/>
  <c r="E154" i="41"/>
  <c r="K160" i="41"/>
  <c r="F160" i="41"/>
  <c r="E160" i="41"/>
  <c r="K159" i="41"/>
  <c r="F159" i="41"/>
  <c r="E159" i="41"/>
  <c r="K158" i="41"/>
  <c r="F158" i="41"/>
  <c r="E158" i="41"/>
  <c r="K157" i="41"/>
  <c r="F157" i="41"/>
  <c r="E157" i="41"/>
  <c r="K151" i="41"/>
  <c r="F151" i="41"/>
  <c r="E151" i="41"/>
  <c r="K166" i="41"/>
  <c r="F166" i="41"/>
  <c r="E166" i="41"/>
  <c r="K156" i="41"/>
  <c r="F156" i="41"/>
  <c r="E156" i="41"/>
  <c r="K169" i="41"/>
  <c r="F169" i="41"/>
  <c r="E169" i="41"/>
  <c r="K155" i="41"/>
  <c r="F155" i="41"/>
  <c r="E155" i="41"/>
  <c r="K153" i="41"/>
  <c r="F153" i="41"/>
  <c r="E153" i="41"/>
  <c r="K164" i="41"/>
  <c r="F164" i="41"/>
  <c r="E164" i="41"/>
  <c r="K165" i="41"/>
  <c r="F165" i="41"/>
  <c r="E165" i="41"/>
  <c r="K150" i="41"/>
  <c r="F150" i="41"/>
  <c r="E150" i="41"/>
  <c r="K148" i="41"/>
  <c r="F148" i="41"/>
  <c r="E148" i="41"/>
  <c r="K149" i="41"/>
  <c r="F149" i="41"/>
  <c r="E149" i="41"/>
  <c r="K172" i="41"/>
  <c r="F172" i="41"/>
  <c r="E172" i="41"/>
  <c r="K146" i="41"/>
  <c r="F146" i="41"/>
  <c r="E146" i="41"/>
  <c r="K147" i="41"/>
  <c r="F147" i="41"/>
  <c r="E147" i="41"/>
  <c r="K137" i="41"/>
  <c r="F137" i="41"/>
  <c r="E137" i="41"/>
  <c r="K136" i="41"/>
  <c r="F136" i="41"/>
  <c r="E136" i="41"/>
  <c r="K135" i="41"/>
  <c r="F135" i="41"/>
  <c r="E135" i="41"/>
  <c r="K134" i="41"/>
  <c r="F134" i="41"/>
  <c r="E134" i="41"/>
  <c r="K144" i="41"/>
  <c r="F144" i="41"/>
  <c r="E144" i="41"/>
  <c r="K139" i="41"/>
  <c r="F139" i="41"/>
  <c r="E139" i="41"/>
  <c r="K143" i="41"/>
  <c r="F143" i="41"/>
  <c r="E143" i="41"/>
  <c r="K133" i="41"/>
  <c r="F133" i="41"/>
  <c r="E133" i="41"/>
  <c r="K132" i="41"/>
  <c r="F132" i="41"/>
  <c r="E132" i="41"/>
  <c r="K131" i="41"/>
  <c r="F131" i="41"/>
  <c r="E131" i="41"/>
  <c r="K130" i="41"/>
  <c r="F130" i="41"/>
  <c r="E130" i="41"/>
  <c r="K129" i="41"/>
  <c r="F129" i="41"/>
  <c r="E129" i="41"/>
  <c r="K128" i="41"/>
  <c r="F128" i="41"/>
  <c r="E128" i="41"/>
  <c r="K140" i="41"/>
  <c r="F140" i="41"/>
  <c r="E140" i="41"/>
  <c r="K127" i="41"/>
  <c r="F127" i="41"/>
  <c r="E127" i="41"/>
  <c r="K126" i="41"/>
  <c r="F126" i="41"/>
  <c r="E126" i="41"/>
  <c r="K118" i="41"/>
  <c r="F118" i="41"/>
  <c r="E118" i="41"/>
  <c r="K124" i="41"/>
  <c r="F124" i="41"/>
  <c r="E124" i="41"/>
  <c r="K125" i="41"/>
  <c r="F125" i="41"/>
  <c r="E125" i="41"/>
  <c r="K138" i="41"/>
  <c r="F138" i="41"/>
  <c r="E138" i="41"/>
  <c r="K119" i="41"/>
  <c r="F119" i="41"/>
  <c r="E119" i="41"/>
  <c r="K121" i="41"/>
  <c r="F121" i="41"/>
  <c r="E121" i="41"/>
  <c r="K123" i="41"/>
  <c r="F123" i="41"/>
  <c r="E123" i="41"/>
  <c r="K145" i="41"/>
  <c r="F145" i="41"/>
  <c r="E145" i="41"/>
  <c r="K122" i="41"/>
  <c r="F122" i="41"/>
  <c r="E122" i="41"/>
  <c r="K142" i="41"/>
  <c r="F142" i="41"/>
  <c r="E142" i="41"/>
  <c r="K141" i="41"/>
  <c r="F141" i="41"/>
  <c r="E141" i="41"/>
  <c r="K120" i="41"/>
  <c r="F120" i="41"/>
  <c r="E120" i="41"/>
  <c r="K111" i="41"/>
  <c r="F111" i="41"/>
  <c r="E111" i="41"/>
  <c r="K115" i="41"/>
  <c r="F115" i="41"/>
  <c r="E115" i="41"/>
  <c r="K116" i="41"/>
  <c r="F116" i="41"/>
  <c r="E116" i="41"/>
  <c r="K112" i="41"/>
  <c r="F112" i="41"/>
  <c r="E112" i="41"/>
  <c r="K117" i="41"/>
  <c r="F117" i="41"/>
  <c r="E117" i="41"/>
  <c r="K108" i="41"/>
  <c r="F108" i="41"/>
  <c r="E108" i="41"/>
  <c r="K104" i="41"/>
  <c r="F104" i="41"/>
  <c r="E104" i="41"/>
  <c r="K107" i="41"/>
  <c r="F107" i="41"/>
  <c r="E107" i="41"/>
  <c r="K103" i="41"/>
  <c r="F103" i="41"/>
  <c r="E103" i="41"/>
  <c r="K114" i="41"/>
  <c r="F114" i="41"/>
  <c r="E114" i="41"/>
  <c r="K102" i="41"/>
  <c r="F102" i="41"/>
  <c r="E102" i="41"/>
  <c r="K113" i="41"/>
  <c r="F113" i="41"/>
  <c r="E113" i="41"/>
  <c r="K101" i="41"/>
  <c r="F101" i="41"/>
  <c r="E101" i="41"/>
  <c r="K100" i="41"/>
  <c r="F100" i="41"/>
  <c r="E100" i="41"/>
  <c r="K99" i="41"/>
  <c r="F99" i="41"/>
  <c r="E99" i="41"/>
  <c r="K106" i="41"/>
  <c r="F106" i="41"/>
  <c r="E106" i="41"/>
  <c r="K96" i="41"/>
  <c r="F96" i="41"/>
  <c r="E96" i="41"/>
  <c r="K98" i="41"/>
  <c r="F98" i="41"/>
  <c r="E98" i="41"/>
  <c r="K110" i="41"/>
  <c r="F110" i="41"/>
  <c r="E110" i="41"/>
  <c r="K105" i="41"/>
  <c r="F105" i="41"/>
  <c r="E105" i="41"/>
  <c r="K97" i="41"/>
  <c r="F97" i="41"/>
  <c r="E97" i="41"/>
  <c r="K92" i="41"/>
  <c r="F92" i="41"/>
  <c r="E92" i="41"/>
  <c r="K109" i="41"/>
  <c r="F109" i="41"/>
  <c r="E109" i="41"/>
  <c r="K95" i="41"/>
  <c r="F95" i="41"/>
  <c r="E95" i="41"/>
  <c r="K94" i="41"/>
  <c r="F94" i="41"/>
  <c r="E94" i="41"/>
  <c r="K93" i="41"/>
  <c r="F93" i="41"/>
  <c r="E93" i="41"/>
  <c r="K86" i="41"/>
  <c r="F86" i="41"/>
  <c r="E86" i="41"/>
  <c r="K85" i="41"/>
  <c r="F85" i="41"/>
  <c r="E85" i="41"/>
  <c r="K84" i="41"/>
  <c r="F84" i="41"/>
  <c r="E84" i="41"/>
  <c r="K83" i="41"/>
  <c r="F83" i="41"/>
  <c r="E83" i="41"/>
  <c r="K82" i="41"/>
  <c r="F82" i="41"/>
  <c r="E82" i="41"/>
  <c r="K81" i="41"/>
  <c r="F81" i="41"/>
  <c r="E81" i="41"/>
  <c r="K87" i="41"/>
  <c r="F87" i="41"/>
  <c r="E87" i="41"/>
  <c r="K80" i="41"/>
  <c r="F80" i="41"/>
  <c r="E80" i="41"/>
  <c r="K91" i="41"/>
  <c r="F91" i="41"/>
  <c r="E91" i="41"/>
  <c r="K79" i="41"/>
  <c r="F79" i="41"/>
  <c r="E79" i="41"/>
  <c r="K78" i="41"/>
  <c r="F78" i="41"/>
  <c r="E78" i="41"/>
  <c r="K77" i="41"/>
  <c r="F77" i="41"/>
  <c r="E77" i="41"/>
  <c r="K76" i="41"/>
  <c r="F76" i="41"/>
  <c r="E76" i="41"/>
  <c r="K65" i="41"/>
  <c r="F65" i="41"/>
  <c r="E65" i="41"/>
  <c r="K75" i="41"/>
  <c r="F75" i="41"/>
  <c r="E75" i="41"/>
  <c r="K74" i="41"/>
  <c r="F74" i="41"/>
  <c r="E74" i="41"/>
  <c r="K73" i="41"/>
  <c r="F73" i="41"/>
  <c r="E73" i="41"/>
  <c r="K90" i="41"/>
  <c r="F90" i="41"/>
  <c r="E90" i="41"/>
  <c r="K69" i="41"/>
  <c r="F69" i="41"/>
  <c r="E69" i="41"/>
  <c r="K72" i="41"/>
  <c r="F72" i="41"/>
  <c r="E72" i="41"/>
  <c r="K68" i="41"/>
  <c r="F68" i="41"/>
  <c r="E68" i="41"/>
  <c r="K63" i="41"/>
  <c r="F63" i="41"/>
  <c r="E63" i="41"/>
  <c r="K71" i="41"/>
  <c r="F71" i="41"/>
  <c r="E71" i="41"/>
  <c r="K70" i="41"/>
  <c r="F70" i="41"/>
  <c r="E70" i="41"/>
  <c r="K66" i="41"/>
  <c r="F66" i="41"/>
  <c r="E66" i="41"/>
  <c r="K89" i="41"/>
  <c r="F89" i="41"/>
  <c r="E89" i="41"/>
  <c r="K88" i="41"/>
  <c r="F88" i="41"/>
  <c r="E88" i="41"/>
  <c r="K67" i="41"/>
  <c r="F67" i="41"/>
  <c r="E67" i="41"/>
  <c r="K64" i="41"/>
  <c r="F64" i="41"/>
  <c r="E64" i="41"/>
  <c r="K62" i="41"/>
  <c r="F62" i="41"/>
  <c r="E62" i="41"/>
  <c r="K60" i="41"/>
  <c r="F60" i="41"/>
  <c r="E60" i="41"/>
  <c r="K61" i="41"/>
  <c r="F61" i="41"/>
  <c r="E61" i="41"/>
  <c r="K59" i="41"/>
  <c r="F59" i="41"/>
  <c r="E59" i="41"/>
  <c r="K58" i="41"/>
  <c r="F58" i="41"/>
  <c r="E58" i="41"/>
  <c r="K57" i="41"/>
  <c r="F57" i="41"/>
  <c r="E57" i="41"/>
  <c r="K55" i="41"/>
  <c r="F55" i="41"/>
  <c r="E55" i="41"/>
  <c r="K54" i="41"/>
  <c r="F54" i="41"/>
  <c r="E54" i="41"/>
  <c r="K53" i="41"/>
  <c r="F53" i="41"/>
  <c r="E53" i="41"/>
  <c r="K52" i="41"/>
  <c r="F52" i="41"/>
  <c r="E52" i="41"/>
  <c r="K51" i="41"/>
  <c r="F51" i="41"/>
  <c r="E51" i="41"/>
  <c r="K50" i="41"/>
  <c r="F50" i="41"/>
  <c r="E50" i="41"/>
  <c r="K49" i="41"/>
  <c r="F49" i="41"/>
  <c r="E49" i="41"/>
  <c r="K47" i="41"/>
  <c r="F47" i="41"/>
  <c r="E47" i="41"/>
  <c r="K48" i="41"/>
  <c r="F48" i="41"/>
  <c r="E48" i="41"/>
  <c r="K46" i="41"/>
  <c r="F46" i="41"/>
  <c r="E46" i="41"/>
  <c r="K45" i="41"/>
  <c r="F45" i="41"/>
  <c r="E45" i="41"/>
  <c r="K56" i="41"/>
  <c r="F56" i="41"/>
  <c r="E56" i="41"/>
  <c r="K43" i="41"/>
  <c r="F43" i="41"/>
  <c r="E43" i="41"/>
  <c r="K36" i="41"/>
  <c r="F36" i="41"/>
  <c r="E36" i="41"/>
  <c r="K42" i="41"/>
  <c r="F42" i="41"/>
  <c r="E42" i="41"/>
  <c r="K40" i="41"/>
  <c r="F40" i="41"/>
  <c r="E40" i="41"/>
  <c r="K41" i="41"/>
  <c r="F41" i="41"/>
  <c r="E41" i="41"/>
  <c r="K37" i="41"/>
  <c r="F37" i="41"/>
  <c r="E37" i="41"/>
  <c r="K39" i="41"/>
  <c r="F39" i="41"/>
  <c r="E39" i="41"/>
  <c r="K38" i="41"/>
  <c r="F38" i="41"/>
  <c r="E38" i="41"/>
  <c r="K44" i="41"/>
  <c r="F44" i="41"/>
  <c r="E44" i="41"/>
  <c r="K32" i="41"/>
  <c r="F32" i="41"/>
  <c r="E32" i="41"/>
  <c r="K30" i="41"/>
  <c r="F30" i="41"/>
  <c r="E30" i="41"/>
  <c r="K29" i="41"/>
  <c r="F29" i="41"/>
  <c r="E29" i="41"/>
  <c r="K28" i="41"/>
  <c r="F28" i="41"/>
  <c r="E28" i="41"/>
  <c r="K27" i="41"/>
  <c r="F27" i="41"/>
  <c r="E27" i="41"/>
  <c r="K34" i="41"/>
  <c r="F34" i="41"/>
  <c r="E34" i="41"/>
  <c r="K14" i="41"/>
  <c r="F14" i="41"/>
  <c r="E14" i="41"/>
  <c r="K15" i="41"/>
  <c r="F15" i="41"/>
  <c r="E15" i="41"/>
  <c r="K33" i="41"/>
  <c r="F33" i="41"/>
  <c r="E33" i="41"/>
  <c r="K17" i="41"/>
  <c r="F17" i="41"/>
  <c r="E17" i="41"/>
  <c r="K26" i="41"/>
  <c r="F26" i="41"/>
  <c r="E26" i="41"/>
  <c r="K25" i="41"/>
  <c r="F25" i="41"/>
  <c r="E25" i="41"/>
  <c r="K24" i="41"/>
  <c r="F24" i="41"/>
  <c r="E24" i="41"/>
  <c r="K35" i="41"/>
  <c r="F35" i="41"/>
  <c r="E35" i="41"/>
  <c r="K23" i="41"/>
  <c r="F23" i="41"/>
  <c r="E23" i="41"/>
  <c r="K22" i="41"/>
  <c r="F22" i="41"/>
  <c r="E22" i="41"/>
  <c r="K21" i="41"/>
  <c r="F21" i="41"/>
  <c r="E21" i="41"/>
  <c r="K20" i="41"/>
  <c r="F20" i="41"/>
  <c r="E20" i="41"/>
  <c r="K19" i="41"/>
  <c r="F19" i="41"/>
  <c r="E19" i="41"/>
  <c r="K18" i="41"/>
  <c r="F18" i="41"/>
  <c r="E18" i="41"/>
  <c r="K13" i="41"/>
  <c r="F13" i="41"/>
  <c r="E13" i="41"/>
  <c r="K11" i="41"/>
  <c r="F11" i="41"/>
  <c r="E11" i="41"/>
  <c r="K12" i="41"/>
  <c r="F12" i="41"/>
  <c r="E12" i="41"/>
  <c r="K16" i="41"/>
  <c r="F16" i="41"/>
  <c r="E16" i="41"/>
  <c r="K31" i="41"/>
  <c r="F31" i="41"/>
  <c r="E31" i="41"/>
  <c r="K10" i="41"/>
  <c r="F10" i="41"/>
  <c r="E10" i="41"/>
  <c r="K9" i="41"/>
  <c r="F9" i="41"/>
  <c r="E9" i="41"/>
  <c r="K8" i="41"/>
  <c r="F8" i="41"/>
  <c r="E8" i="41"/>
  <c r="K6" i="41"/>
  <c r="F6" i="41"/>
  <c r="E6" i="41"/>
  <c r="K3" i="41"/>
  <c r="F3" i="41"/>
  <c r="E3" i="41"/>
  <c r="K7" i="41"/>
  <c r="F7" i="41"/>
  <c r="E7" i="41"/>
  <c r="K4" i="41"/>
  <c r="F4" i="41"/>
  <c r="E4" i="41"/>
  <c r="K5" i="41"/>
  <c r="F5" i="41"/>
  <c r="E5" i="41"/>
  <c r="K2" i="41"/>
  <c r="F2" i="41"/>
  <c r="E2" i="41"/>
  <c r="C2" i="41" s="1"/>
  <c r="K427" i="40"/>
  <c r="F427" i="40"/>
  <c r="E427" i="40"/>
  <c r="K426" i="40"/>
  <c r="F426" i="40"/>
  <c r="E426" i="40"/>
  <c r="K425" i="40"/>
  <c r="F425" i="40"/>
  <c r="E425" i="40"/>
  <c r="K424" i="40"/>
  <c r="F424" i="40"/>
  <c r="E424" i="40"/>
  <c r="K423" i="40"/>
  <c r="F423" i="40"/>
  <c r="E423" i="40"/>
  <c r="K422" i="40"/>
  <c r="F422" i="40"/>
  <c r="E422" i="40"/>
  <c r="K421" i="40"/>
  <c r="F421" i="40"/>
  <c r="E421" i="40"/>
  <c r="K420" i="40"/>
  <c r="F420" i="40"/>
  <c r="E420" i="40"/>
  <c r="K419" i="40"/>
  <c r="F419" i="40"/>
  <c r="E419" i="40"/>
  <c r="K418" i="40"/>
  <c r="F418" i="40"/>
  <c r="E418" i="40"/>
  <c r="K417" i="40"/>
  <c r="F417" i="40"/>
  <c r="E417" i="40"/>
  <c r="K416" i="40"/>
  <c r="F416" i="40"/>
  <c r="E416" i="40"/>
  <c r="K415" i="40"/>
  <c r="F415" i="40"/>
  <c r="E415" i="40"/>
  <c r="K414" i="40"/>
  <c r="F414" i="40"/>
  <c r="E414" i="40"/>
  <c r="K413" i="40"/>
  <c r="F413" i="40"/>
  <c r="E413" i="40"/>
  <c r="K412" i="40"/>
  <c r="F412" i="40"/>
  <c r="E412" i="40"/>
  <c r="K411" i="40"/>
  <c r="F411" i="40"/>
  <c r="E411" i="40"/>
  <c r="K410" i="40"/>
  <c r="F410" i="40"/>
  <c r="E410" i="40"/>
  <c r="K409" i="40"/>
  <c r="F409" i="40"/>
  <c r="E409" i="40"/>
  <c r="K408" i="40"/>
  <c r="F408" i="40"/>
  <c r="E408" i="40"/>
  <c r="K407" i="40"/>
  <c r="F407" i="40"/>
  <c r="E407" i="40"/>
  <c r="K406" i="40"/>
  <c r="F406" i="40"/>
  <c r="E406" i="40"/>
  <c r="K405" i="40"/>
  <c r="F405" i="40"/>
  <c r="E405" i="40"/>
  <c r="K404" i="40"/>
  <c r="F404" i="40"/>
  <c r="E404" i="40"/>
  <c r="K403" i="40"/>
  <c r="F403" i="40"/>
  <c r="E403" i="40"/>
  <c r="K402" i="40"/>
  <c r="F402" i="40"/>
  <c r="E402" i="40"/>
  <c r="K401" i="40"/>
  <c r="F401" i="40"/>
  <c r="E401" i="40"/>
  <c r="K400" i="40"/>
  <c r="F400" i="40"/>
  <c r="E400" i="40"/>
  <c r="K399" i="40"/>
  <c r="F399" i="40"/>
  <c r="E399" i="40"/>
  <c r="K398" i="40"/>
  <c r="F398" i="40"/>
  <c r="E398" i="40"/>
  <c r="K397" i="40"/>
  <c r="F397" i="40"/>
  <c r="E397" i="40"/>
  <c r="K396" i="40"/>
  <c r="F396" i="40"/>
  <c r="E396" i="40"/>
  <c r="K395" i="40"/>
  <c r="F395" i="40"/>
  <c r="E395" i="40"/>
  <c r="K394" i="40"/>
  <c r="F394" i="40"/>
  <c r="E394" i="40"/>
  <c r="K393" i="40"/>
  <c r="F393" i="40"/>
  <c r="E393" i="40"/>
  <c r="K392" i="40"/>
  <c r="F392" i="40"/>
  <c r="E392" i="40"/>
  <c r="K391" i="40"/>
  <c r="F391" i="40"/>
  <c r="E391" i="40"/>
  <c r="K390" i="40"/>
  <c r="F390" i="40"/>
  <c r="E390" i="40"/>
  <c r="K389" i="40"/>
  <c r="F389" i="40"/>
  <c r="E389" i="40"/>
  <c r="K388" i="40"/>
  <c r="F388" i="40"/>
  <c r="E388" i="40"/>
  <c r="K387" i="40"/>
  <c r="F387" i="40"/>
  <c r="E387" i="40"/>
  <c r="K386" i="40"/>
  <c r="F386" i="40"/>
  <c r="E386" i="40"/>
  <c r="K385" i="40"/>
  <c r="F385" i="40"/>
  <c r="E385" i="40"/>
  <c r="K384" i="40"/>
  <c r="F384" i="40"/>
  <c r="E384" i="40"/>
  <c r="K383" i="40"/>
  <c r="F383" i="40"/>
  <c r="E383" i="40"/>
  <c r="K382" i="40"/>
  <c r="F382" i="40"/>
  <c r="E382" i="40"/>
  <c r="K381" i="40"/>
  <c r="F381" i="40"/>
  <c r="E381" i="40"/>
  <c r="K380" i="40"/>
  <c r="F380" i="40"/>
  <c r="E380" i="40"/>
  <c r="K379" i="40"/>
  <c r="F379" i="40"/>
  <c r="E379" i="40"/>
  <c r="K378" i="40"/>
  <c r="F378" i="40"/>
  <c r="E378" i="40"/>
  <c r="K377" i="40"/>
  <c r="F377" i="40"/>
  <c r="E377" i="40"/>
  <c r="K376" i="40"/>
  <c r="F376" i="40"/>
  <c r="E376" i="40"/>
  <c r="K375" i="40"/>
  <c r="F375" i="40"/>
  <c r="E375" i="40"/>
  <c r="K374" i="40"/>
  <c r="F374" i="40"/>
  <c r="E374" i="40"/>
  <c r="K373" i="40"/>
  <c r="F373" i="40"/>
  <c r="E373" i="40"/>
  <c r="K372" i="40"/>
  <c r="F372" i="40"/>
  <c r="E372" i="40"/>
  <c r="K371" i="40"/>
  <c r="F371" i="40"/>
  <c r="E371" i="40"/>
  <c r="K370" i="40"/>
  <c r="F370" i="40"/>
  <c r="E370" i="40"/>
  <c r="K369" i="40"/>
  <c r="F369" i="40"/>
  <c r="E369" i="40"/>
  <c r="K368" i="40"/>
  <c r="F368" i="40"/>
  <c r="E368" i="40"/>
  <c r="K367" i="40"/>
  <c r="F367" i="40"/>
  <c r="E367" i="40"/>
  <c r="K366" i="40"/>
  <c r="F366" i="40"/>
  <c r="E366" i="40"/>
  <c r="K365" i="40"/>
  <c r="F365" i="40"/>
  <c r="E365" i="40"/>
  <c r="K364" i="40"/>
  <c r="F364" i="40"/>
  <c r="E364" i="40"/>
  <c r="K363" i="40"/>
  <c r="F363" i="40"/>
  <c r="E363" i="40"/>
  <c r="K362" i="40"/>
  <c r="F362" i="40"/>
  <c r="E362" i="40"/>
  <c r="K361" i="40"/>
  <c r="F361" i="40"/>
  <c r="E361" i="40"/>
  <c r="K360" i="40"/>
  <c r="F360" i="40"/>
  <c r="E360" i="40"/>
  <c r="K359" i="40"/>
  <c r="F359" i="40"/>
  <c r="E359" i="40"/>
  <c r="K358" i="40"/>
  <c r="F358" i="40"/>
  <c r="E358" i="40"/>
  <c r="K357" i="40"/>
  <c r="F357" i="40"/>
  <c r="E357" i="40"/>
  <c r="K356" i="40"/>
  <c r="F356" i="40"/>
  <c r="E356" i="40"/>
  <c r="K355" i="40"/>
  <c r="F355" i="40"/>
  <c r="E355" i="40"/>
  <c r="K354" i="40"/>
  <c r="F354" i="40"/>
  <c r="E354" i="40"/>
  <c r="K353" i="40"/>
  <c r="F353" i="40"/>
  <c r="E353" i="40"/>
  <c r="K352" i="40"/>
  <c r="F352" i="40"/>
  <c r="E352" i="40"/>
  <c r="K351" i="40"/>
  <c r="F351" i="40"/>
  <c r="E351" i="40"/>
  <c r="K350" i="40"/>
  <c r="F350" i="40"/>
  <c r="E350" i="40"/>
  <c r="K349" i="40"/>
  <c r="F349" i="40"/>
  <c r="E349" i="40"/>
  <c r="K348" i="40"/>
  <c r="F348" i="40"/>
  <c r="E348" i="40"/>
  <c r="K347" i="40"/>
  <c r="F347" i="40"/>
  <c r="E347" i="40"/>
  <c r="K346" i="40"/>
  <c r="F346" i="40"/>
  <c r="E346" i="40"/>
  <c r="K345" i="40"/>
  <c r="F345" i="40"/>
  <c r="E345" i="40"/>
  <c r="K344" i="40"/>
  <c r="F344" i="40"/>
  <c r="E344" i="40"/>
  <c r="K343" i="40"/>
  <c r="F343" i="40"/>
  <c r="E343" i="40"/>
  <c r="C343" i="40" s="1"/>
  <c r="D343" i="40" s="1"/>
  <c r="K342" i="40"/>
  <c r="F342" i="40"/>
  <c r="E342" i="40"/>
  <c r="K341" i="40"/>
  <c r="F341" i="40"/>
  <c r="E341" i="40"/>
  <c r="K340" i="40"/>
  <c r="F340" i="40"/>
  <c r="E340" i="40"/>
  <c r="K339" i="40"/>
  <c r="F339" i="40"/>
  <c r="E339" i="40"/>
  <c r="K338" i="40"/>
  <c r="F338" i="40"/>
  <c r="E338" i="40"/>
  <c r="K337" i="40"/>
  <c r="F337" i="40"/>
  <c r="E337" i="40"/>
  <c r="K336" i="40"/>
  <c r="F336" i="40"/>
  <c r="E336" i="40"/>
  <c r="K335" i="40"/>
  <c r="F335" i="40"/>
  <c r="E335" i="40"/>
  <c r="K334" i="40"/>
  <c r="F334" i="40"/>
  <c r="E334" i="40"/>
  <c r="K333" i="40"/>
  <c r="F333" i="40"/>
  <c r="E333" i="40"/>
  <c r="K332" i="40"/>
  <c r="F332" i="40"/>
  <c r="E332" i="40"/>
  <c r="K331" i="40"/>
  <c r="F331" i="40"/>
  <c r="E331" i="40"/>
  <c r="K330" i="40"/>
  <c r="F330" i="40"/>
  <c r="E330" i="40"/>
  <c r="K329" i="40"/>
  <c r="F329" i="40"/>
  <c r="E329" i="40"/>
  <c r="K328" i="40"/>
  <c r="F328" i="40"/>
  <c r="E328" i="40"/>
  <c r="K327" i="40"/>
  <c r="F327" i="40"/>
  <c r="E327" i="40"/>
  <c r="K326" i="40"/>
  <c r="F326" i="40"/>
  <c r="E326" i="40"/>
  <c r="K325" i="40"/>
  <c r="F325" i="40"/>
  <c r="E325" i="40"/>
  <c r="K324" i="40"/>
  <c r="F324" i="40"/>
  <c r="E324" i="40"/>
  <c r="K323" i="40"/>
  <c r="F323" i="40"/>
  <c r="E323" i="40"/>
  <c r="K322" i="40"/>
  <c r="F322" i="40"/>
  <c r="E322" i="40"/>
  <c r="K321" i="40"/>
  <c r="F321" i="40"/>
  <c r="E321" i="40"/>
  <c r="K320" i="40"/>
  <c r="F320" i="40"/>
  <c r="E320" i="40"/>
  <c r="K319" i="40"/>
  <c r="F319" i="40"/>
  <c r="E319" i="40"/>
  <c r="K318" i="40"/>
  <c r="F318" i="40"/>
  <c r="E318" i="40"/>
  <c r="K317" i="40"/>
  <c r="F317" i="40"/>
  <c r="E317" i="40"/>
  <c r="K316" i="40"/>
  <c r="F316" i="40"/>
  <c r="E316" i="40"/>
  <c r="K315" i="40"/>
  <c r="F315" i="40"/>
  <c r="E315" i="40"/>
  <c r="K314" i="40"/>
  <c r="F314" i="40"/>
  <c r="E314" i="40"/>
  <c r="K313" i="40"/>
  <c r="F313" i="40"/>
  <c r="E313" i="40"/>
  <c r="K312" i="40"/>
  <c r="F312" i="40"/>
  <c r="E312" i="40"/>
  <c r="K311" i="40"/>
  <c r="F311" i="40"/>
  <c r="E311" i="40"/>
  <c r="K310" i="40"/>
  <c r="F310" i="40"/>
  <c r="E310" i="40"/>
  <c r="K309" i="40"/>
  <c r="F309" i="40"/>
  <c r="E309" i="40"/>
  <c r="K308" i="40"/>
  <c r="F308" i="40"/>
  <c r="E308" i="40"/>
  <c r="K307" i="40"/>
  <c r="F307" i="40"/>
  <c r="E307" i="40"/>
  <c r="K306" i="40"/>
  <c r="F306" i="40"/>
  <c r="E306" i="40"/>
  <c r="K305" i="40"/>
  <c r="F305" i="40"/>
  <c r="E305" i="40"/>
  <c r="K304" i="40"/>
  <c r="F304" i="40"/>
  <c r="E304" i="40"/>
  <c r="K303" i="40"/>
  <c r="F303" i="40"/>
  <c r="E303" i="40"/>
  <c r="K302" i="40"/>
  <c r="F302" i="40"/>
  <c r="E302" i="40"/>
  <c r="K301" i="40"/>
  <c r="F301" i="40"/>
  <c r="E301" i="40"/>
  <c r="K300" i="40"/>
  <c r="F300" i="40"/>
  <c r="E300" i="40"/>
  <c r="K299" i="40"/>
  <c r="F299" i="40"/>
  <c r="E299" i="40"/>
  <c r="K298" i="40"/>
  <c r="F298" i="40"/>
  <c r="E298" i="40"/>
  <c r="K297" i="40"/>
  <c r="F297" i="40"/>
  <c r="E297" i="40"/>
  <c r="K296" i="40"/>
  <c r="F296" i="40"/>
  <c r="E296" i="40"/>
  <c r="K295" i="40"/>
  <c r="F295" i="40"/>
  <c r="E295" i="40"/>
  <c r="K294" i="40"/>
  <c r="F294" i="40"/>
  <c r="E294" i="40"/>
  <c r="K293" i="40"/>
  <c r="F293" i="40"/>
  <c r="E293" i="40"/>
  <c r="K292" i="40"/>
  <c r="F292" i="40"/>
  <c r="E292" i="40"/>
  <c r="K291" i="40"/>
  <c r="F291" i="40"/>
  <c r="E291" i="40"/>
  <c r="K290" i="40"/>
  <c r="F290" i="40"/>
  <c r="E290" i="40"/>
  <c r="K289" i="40"/>
  <c r="F289" i="40"/>
  <c r="E289" i="40"/>
  <c r="K288" i="40"/>
  <c r="F288" i="40"/>
  <c r="E288" i="40"/>
  <c r="K287" i="40"/>
  <c r="F287" i="40"/>
  <c r="E287" i="40"/>
  <c r="K286" i="40"/>
  <c r="F286" i="40"/>
  <c r="E286" i="40"/>
  <c r="K285" i="40"/>
  <c r="F285" i="40"/>
  <c r="E285" i="40"/>
  <c r="K284" i="40"/>
  <c r="F284" i="40"/>
  <c r="E284" i="40"/>
  <c r="K283" i="40"/>
  <c r="F283" i="40"/>
  <c r="E283" i="40"/>
  <c r="K282" i="40"/>
  <c r="F282" i="40"/>
  <c r="E282" i="40"/>
  <c r="K281" i="40"/>
  <c r="F281" i="40"/>
  <c r="E281" i="40"/>
  <c r="K280" i="40"/>
  <c r="F280" i="40"/>
  <c r="E280" i="40"/>
  <c r="K279" i="40"/>
  <c r="F279" i="40"/>
  <c r="E279" i="40"/>
  <c r="K278" i="40"/>
  <c r="F278" i="40"/>
  <c r="E278" i="40"/>
  <c r="K277" i="40"/>
  <c r="F277" i="40"/>
  <c r="E277" i="40"/>
  <c r="K276" i="40"/>
  <c r="F276" i="40"/>
  <c r="E276" i="40"/>
  <c r="K275" i="40"/>
  <c r="F275" i="40"/>
  <c r="E275" i="40"/>
  <c r="K274" i="40"/>
  <c r="F274" i="40"/>
  <c r="E274" i="40"/>
  <c r="K273" i="40"/>
  <c r="F273" i="40"/>
  <c r="E273" i="40"/>
  <c r="K272" i="40"/>
  <c r="F272" i="40"/>
  <c r="E272" i="40"/>
  <c r="K271" i="40"/>
  <c r="F271" i="40"/>
  <c r="E271" i="40"/>
  <c r="K270" i="40"/>
  <c r="F270" i="40"/>
  <c r="E270" i="40"/>
  <c r="K269" i="40"/>
  <c r="F269" i="40"/>
  <c r="E269" i="40"/>
  <c r="K268" i="40"/>
  <c r="F268" i="40"/>
  <c r="E268" i="40"/>
  <c r="K267" i="40"/>
  <c r="F267" i="40"/>
  <c r="E267" i="40"/>
  <c r="K266" i="40"/>
  <c r="F266" i="40"/>
  <c r="E266" i="40"/>
  <c r="K265" i="40"/>
  <c r="F265" i="40"/>
  <c r="E265" i="40"/>
  <c r="K264" i="40"/>
  <c r="F264" i="40"/>
  <c r="E264" i="40"/>
  <c r="K263" i="40"/>
  <c r="F263" i="40"/>
  <c r="E263" i="40"/>
  <c r="K262" i="40"/>
  <c r="F262" i="40"/>
  <c r="E262" i="40"/>
  <c r="K261" i="40"/>
  <c r="F261" i="40"/>
  <c r="E261" i="40"/>
  <c r="K260" i="40"/>
  <c r="F260" i="40"/>
  <c r="E260" i="40"/>
  <c r="K259" i="40"/>
  <c r="F259" i="40"/>
  <c r="E259" i="40"/>
  <c r="K258" i="40"/>
  <c r="F258" i="40"/>
  <c r="E258" i="40"/>
  <c r="K257" i="40"/>
  <c r="F257" i="40"/>
  <c r="E257" i="40"/>
  <c r="K256" i="40"/>
  <c r="F256" i="40"/>
  <c r="E256" i="40"/>
  <c r="K255" i="40"/>
  <c r="F255" i="40"/>
  <c r="E255" i="40"/>
  <c r="K254" i="40"/>
  <c r="F254" i="40"/>
  <c r="E254" i="40"/>
  <c r="K253" i="40"/>
  <c r="F253" i="40"/>
  <c r="E253" i="40"/>
  <c r="K252" i="40"/>
  <c r="F252" i="40"/>
  <c r="E252" i="40"/>
  <c r="K251" i="40"/>
  <c r="F251" i="40"/>
  <c r="E251" i="40"/>
  <c r="K250" i="40"/>
  <c r="F250" i="40"/>
  <c r="E250" i="40"/>
  <c r="K249" i="40"/>
  <c r="F249" i="40"/>
  <c r="E249" i="40"/>
  <c r="K248" i="40"/>
  <c r="F248" i="40"/>
  <c r="E248" i="40"/>
  <c r="K247" i="40"/>
  <c r="F247" i="40"/>
  <c r="E247" i="40"/>
  <c r="K246" i="40"/>
  <c r="F246" i="40"/>
  <c r="E246" i="40"/>
  <c r="K245" i="40"/>
  <c r="F245" i="40"/>
  <c r="E245" i="40"/>
  <c r="K244" i="40"/>
  <c r="F244" i="40"/>
  <c r="E244" i="40"/>
  <c r="K243" i="40"/>
  <c r="F243" i="40"/>
  <c r="E243" i="40"/>
  <c r="K242" i="40"/>
  <c r="F242" i="40"/>
  <c r="E242" i="40"/>
  <c r="K241" i="40"/>
  <c r="F241" i="40"/>
  <c r="E241" i="40"/>
  <c r="K240" i="40"/>
  <c r="F240" i="40"/>
  <c r="E240" i="40"/>
  <c r="K239" i="40"/>
  <c r="F239" i="40"/>
  <c r="E239" i="40"/>
  <c r="K238" i="40"/>
  <c r="F238" i="40"/>
  <c r="E238" i="40"/>
  <c r="K237" i="40"/>
  <c r="F237" i="40"/>
  <c r="E237" i="40"/>
  <c r="K236" i="40"/>
  <c r="F236" i="40"/>
  <c r="E236" i="40"/>
  <c r="K235" i="40"/>
  <c r="F235" i="40"/>
  <c r="E235" i="40"/>
  <c r="K234" i="40"/>
  <c r="F234" i="40"/>
  <c r="E234" i="40"/>
  <c r="K233" i="40"/>
  <c r="F233" i="40"/>
  <c r="E233" i="40"/>
  <c r="K232" i="40"/>
  <c r="F232" i="40"/>
  <c r="E232" i="40"/>
  <c r="K231" i="40"/>
  <c r="F231" i="40"/>
  <c r="E231" i="40"/>
  <c r="K230" i="40"/>
  <c r="F230" i="40"/>
  <c r="E230" i="40"/>
  <c r="K229" i="40"/>
  <c r="F229" i="40"/>
  <c r="E229" i="40"/>
  <c r="K228" i="40"/>
  <c r="F228" i="40"/>
  <c r="E228" i="40"/>
  <c r="K227" i="40"/>
  <c r="F227" i="40"/>
  <c r="E227" i="40"/>
  <c r="K226" i="40"/>
  <c r="F226" i="40"/>
  <c r="E226" i="40"/>
  <c r="K225" i="40"/>
  <c r="F225" i="40"/>
  <c r="E225" i="40"/>
  <c r="K224" i="40"/>
  <c r="F224" i="40"/>
  <c r="E224" i="40"/>
  <c r="K223" i="40"/>
  <c r="F223" i="40"/>
  <c r="E223" i="40"/>
  <c r="K222" i="40"/>
  <c r="F222" i="40"/>
  <c r="E222" i="40"/>
  <c r="K221" i="40"/>
  <c r="F221" i="40"/>
  <c r="E221" i="40"/>
  <c r="K220" i="40"/>
  <c r="F220" i="40"/>
  <c r="E220" i="40"/>
  <c r="K219" i="40"/>
  <c r="F219" i="40"/>
  <c r="E219" i="40"/>
  <c r="K218" i="40"/>
  <c r="F218" i="40"/>
  <c r="E218" i="40"/>
  <c r="K217" i="40"/>
  <c r="F217" i="40"/>
  <c r="E217" i="40"/>
  <c r="K216" i="40"/>
  <c r="F216" i="40"/>
  <c r="E216" i="40"/>
  <c r="K215" i="40"/>
  <c r="F215" i="40"/>
  <c r="E215" i="40"/>
  <c r="C215" i="40" s="1"/>
  <c r="K214" i="40"/>
  <c r="F214" i="40"/>
  <c r="E214" i="40"/>
  <c r="C214" i="40"/>
  <c r="K213" i="40"/>
  <c r="F213" i="40"/>
  <c r="E213" i="40"/>
  <c r="K212" i="40"/>
  <c r="F212" i="40"/>
  <c r="E212" i="40"/>
  <c r="K211" i="40"/>
  <c r="F211" i="40"/>
  <c r="E211" i="40"/>
  <c r="K210" i="40"/>
  <c r="F210" i="40"/>
  <c r="E210" i="40"/>
  <c r="K209" i="40"/>
  <c r="F209" i="40"/>
  <c r="E209" i="40"/>
  <c r="K208" i="40"/>
  <c r="F208" i="40"/>
  <c r="E208" i="40"/>
  <c r="K207" i="40"/>
  <c r="F207" i="40"/>
  <c r="E207" i="40"/>
  <c r="K206" i="40"/>
  <c r="F206" i="40"/>
  <c r="E206" i="40"/>
  <c r="K205" i="40"/>
  <c r="F205" i="40"/>
  <c r="E205" i="40"/>
  <c r="K204" i="40"/>
  <c r="F204" i="40"/>
  <c r="E204" i="40"/>
  <c r="K203" i="40"/>
  <c r="F203" i="40"/>
  <c r="E203" i="40"/>
  <c r="K202" i="40"/>
  <c r="F202" i="40"/>
  <c r="E202" i="40"/>
  <c r="K201" i="40"/>
  <c r="F201" i="40"/>
  <c r="E201" i="40"/>
  <c r="K200" i="40"/>
  <c r="F200" i="40"/>
  <c r="E200" i="40"/>
  <c r="K199" i="40"/>
  <c r="F199" i="40"/>
  <c r="E199" i="40"/>
  <c r="K198" i="40"/>
  <c r="F198" i="40"/>
  <c r="E198" i="40"/>
  <c r="K197" i="40"/>
  <c r="F197" i="40"/>
  <c r="E197" i="40"/>
  <c r="K196" i="40"/>
  <c r="F196" i="40"/>
  <c r="E196" i="40"/>
  <c r="K195" i="40"/>
  <c r="F195" i="40"/>
  <c r="E195" i="40"/>
  <c r="K194" i="40"/>
  <c r="F194" i="40"/>
  <c r="E194" i="40"/>
  <c r="K193" i="40"/>
  <c r="F193" i="40"/>
  <c r="E193" i="40"/>
  <c r="K192" i="40"/>
  <c r="F192" i="40"/>
  <c r="E192" i="40"/>
  <c r="K191" i="40"/>
  <c r="F191" i="40"/>
  <c r="E191" i="40"/>
  <c r="K190" i="40"/>
  <c r="F190" i="40"/>
  <c r="E190" i="40"/>
  <c r="K189" i="40"/>
  <c r="F189" i="40"/>
  <c r="E189" i="40"/>
  <c r="K188" i="40"/>
  <c r="F188" i="40"/>
  <c r="E188" i="40"/>
  <c r="K187" i="40"/>
  <c r="F187" i="40"/>
  <c r="E187" i="40"/>
  <c r="K186" i="40"/>
  <c r="F186" i="40"/>
  <c r="E186" i="40"/>
  <c r="K185" i="40"/>
  <c r="F185" i="40"/>
  <c r="E185" i="40"/>
  <c r="K184" i="40"/>
  <c r="F184" i="40"/>
  <c r="E184" i="40"/>
  <c r="K183" i="40"/>
  <c r="F183" i="40"/>
  <c r="E183" i="40"/>
  <c r="K182" i="40"/>
  <c r="F182" i="40"/>
  <c r="E182" i="40"/>
  <c r="K181" i="40"/>
  <c r="F181" i="40"/>
  <c r="E181" i="40"/>
  <c r="K180" i="40"/>
  <c r="F180" i="40"/>
  <c r="E180" i="40"/>
  <c r="K179" i="40"/>
  <c r="F179" i="40"/>
  <c r="E179" i="40"/>
  <c r="K178" i="40"/>
  <c r="F178" i="40"/>
  <c r="E178" i="40"/>
  <c r="K177" i="40"/>
  <c r="F177" i="40"/>
  <c r="E177" i="40"/>
  <c r="K176" i="40"/>
  <c r="F176" i="40"/>
  <c r="E176" i="40"/>
  <c r="K175" i="40"/>
  <c r="F175" i="40"/>
  <c r="E175" i="40"/>
  <c r="K174" i="40"/>
  <c r="F174" i="40"/>
  <c r="E174" i="40"/>
  <c r="K173" i="40"/>
  <c r="F173" i="40"/>
  <c r="E173" i="40"/>
  <c r="K172" i="40"/>
  <c r="F172" i="40"/>
  <c r="E172" i="40"/>
  <c r="K171" i="40"/>
  <c r="F171" i="40"/>
  <c r="E171" i="40"/>
  <c r="K170" i="40"/>
  <c r="F170" i="40"/>
  <c r="E170" i="40"/>
  <c r="K169" i="40"/>
  <c r="F169" i="40"/>
  <c r="E169" i="40"/>
  <c r="K168" i="40"/>
  <c r="F168" i="40"/>
  <c r="E168" i="40"/>
  <c r="K167" i="40"/>
  <c r="F167" i="40"/>
  <c r="E167" i="40"/>
  <c r="K166" i="40"/>
  <c r="F166" i="40"/>
  <c r="E166" i="40"/>
  <c r="K165" i="40"/>
  <c r="F165" i="40"/>
  <c r="E165" i="40"/>
  <c r="K164" i="40"/>
  <c r="F164" i="40"/>
  <c r="E164" i="40"/>
  <c r="K163" i="40"/>
  <c r="F163" i="40"/>
  <c r="E163" i="40"/>
  <c r="K162" i="40"/>
  <c r="F162" i="40"/>
  <c r="E162" i="40"/>
  <c r="K161" i="40"/>
  <c r="F161" i="40"/>
  <c r="E161" i="40"/>
  <c r="K160" i="40"/>
  <c r="F160" i="40"/>
  <c r="E160" i="40"/>
  <c r="K159" i="40"/>
  <c r="F159" i="40"/>
  <c r="E159" i="40"/>
  <c r="K158" i="40"/>
  <c r="F158" i="40"/>
  <c r="E158" i="40"/>
  <c r="K157" i="40"/>
  <c r="F157" i="40"/>
  <c r="E157" i="40"/>
  <c r="K156" i="40"/>
  <c r="F156" i="40"/>
  <c r="E156" i="40"/>
  <c r="K155" i="40"/>
  <c r="F155" i="40"/>
  <c r="E155" i="40"/>
  <c r="K154" i="40"/>
  <c r="F154" i="40"/>
  <c r="E154" i="40"/>
  <c r="K153" i="40"/>
  <c r="F153" i="40"/>
  <c r="E153" i="40"/>
  <c r="K152" i="40"/>
  <c r="F152" i="40"/>
  <c r="E152" i="40"/>
  <c r="K151" i="40"/>
  <c r="F151" i="40"/>
  <c r="E151" i="40"/>
  <c r="K150" i="40"/>
  <c r="F150" i="40"/>
  <c r="E150" i="40"/>
  <c r="K149" i="40"/>
  <c r="F149" i="40"/>
  <c r="E149" i="40"/>
  <c r="K148" i="40"/>
  <c r="F148" i="40"/>
  <c r="E148" i="40"/>
  <c r="K147" i="40"/>
  <c r="F147" i="40"/>
  <c r="E147" i="40"/>
  <c r="K146" i="40"/>
  <c r="F146" i="40"/>
  <c r="E146" i="40"/>
  <c r="K145" i="40"/>
  <c r="F145" i="40"/>
  <c r="E145" i="40"/>
  <c r="K144" i="40"/>
  <c r="F144" i="40"/>
  <c r="E144" i="40"/>
  <c r="K143" i="40"/>
  <c r="F143" i="40"/>
  <c r="E143" i="40"/>
  <c r="K142" i="40"/>
  <c r="F142" i="40"/>
  <c r="E142" i="40"/>
  <c r="K141" i="40"/>
  <c r="F141" i="40"/>
  <c r="E141" i="40"/>
  <c r="K140" i="40"/>
  <c r="F140" i="40"/>
  <c r="E140" i="40"/>
  <c r="K139" i="40"/>
  <c r="F139" i="40"/>
  <c r="E139" i="40"/>
  <c r="K138" i="40"/>
  <c r="F138" i="40"/>
  <c r="E138" i="40"/>
  <c r="K137" i="40"/>
  <c r="F137" i="40"/>
  <c r="E137" i="40"/>
  <c r="K136" i="40"/>
  <c r="F136" i="40"/>
  <c r="E136" i="40"/>
  <c r="K135" i="40"/>
  <c r="F135" i="40"/>
  <c r="E135" i="40"/>
  <c r="K134" i="40"/>
  <c r="F134" i="40"/>
  <c r="E134" i="40"/>
  <c r="K133" i="40"/>
  <c r="F133" i="40"/>
  <c r="E133" i="40"/>
  <c r="K132" i="40"/>
  <c r="F132" i="40"/>
  <c r="E132" i="40"/>
  <c r="K131" i="40"/>
  <c r="F131" i="40"/>
  <c r="E131" i="40"/>
  <c r="K130" i="40"/>
  <c r="F130" i="40"/>
  <c r="E130" i="40"/>
  <c r="K129" i="40"/>
  <c r="F129" i="40"/>
  <c r="E129" i="40"/>
  <c r="K128" i="40"/>
  <c r="F128" i="40"/>
  <c r="E128" i="40"/>
  <c r="K127" i="40"/>
  <c r="F127" i="40"/>
  <c r="E127" i="40"/>
  <c r="K126" i="40"/>
  <c r="F126" i="40"/>
  <c r="E126" i="40"/>
  <c r="K125" i="40"/>
  <c r="F125" i="40"/>
  <c r="E125" i="40"/>
  <c r="K124" i="40"/>
  <c r="F124" i="40"/>
  <c r="E124" i="40"/>
  <c r="K123" i="40"/>
  <c r="F123" i="40"/>
  <c r="E123" i="40"/>
  <c r="K122" i="40"/>
  <c r="F122" i="40"/>
  <c r="E122" i="40"/>
  <c r="K121" i="40"/>
  <c r="F121" i="40"/>
  <c r="E121" i="40"/>
  <c r="K120" i="40"/>
  <c r="F120" i="40"/>
  <c r="E120" i="40"/>
  <c r="K119" i="40"/>
  <c r="F119" i="40"/>
  <c r="E119" i="40"/>
  <c r="K118" i="40"/>
  <c r="F118" i="40"/>
  <c r="E118" i="40"/>
  <c r="K117" i="40"/>
  <c r="F117" i="40"/>
  <c r="E117" i="40"/>
  <c r="K116" i="40"/>
  <c r="F116" i="40"/>
  <c r="E116" i="40"/>
  <c r="K115" i="40"/>
  <c r="F115" i="40"/>
  <c r="E115" i="40"/>
  <c r="K114" i="40"/>
  <c r="F114" i="40"/>
  <c r="E114" i="40"/>
  <c r="K113" i="40"/>
  <c r="F113" i="40"/>
  <c r="E113" i="40"/>
  <c r="K112" i="40"/>
  <c r="F112" i="40"/>
  <c r="E112" i="40"/>
  <c r="K111" i="40"/>
  <c r="F111" i="40"/>
  <c r="E111" i="40"/>
  <c r="K110" i="40"/>
  <c r="F110" i="40"/>
  <c r="E110" i="40"/>
  <c r="K109" i="40"/>
  <c r="F109" i="40"/>
  <c r="E109" i="40"/>
  <c r="K108" i="40"/>
  <c r="F108" i="40"/>
  <c r="E108" i="40"/>
  <c r="K107" i="40"/>
  <c r="F107" i="40"/>
  <c r="E107" i="40"/>
  <c r="K106" i="40"/>
  <c r="F106" i="40"/>
  <c r="E106" i="40"/>
  <c r="K105" i="40"/>
  <c r="F105" i="40"/>
  <c r="E105" i="40"/>
  <c r="K104" i="40"/>
  <c r="F104" i="40"/>
  <c r="E104" i="40"/>
  <c r="K103" i="40"/>
  <c r="F103" i="40"/>
  <c r="E103" i="40"/>
  <c r="K102" i="40"/>
  <c r="F102" i="40"/>
  <c r="E102" i="40"/>
  <c r="K101" i="40"/>
  <c r="F101" i="40"/>
  <c r="E101" i="40"/>
  <c r="K100" i="40"/>
  <c r="F100" i="40"/>
  <c r="E100" i="40"/>
  <c r="K99" i="40"/>
  <c r="F99" i="40"/>
  <c r="E99" i="40"/>
  <c r="K98" i="40"/>
  <c r="F98" i="40"/>
  <c r="E98" i="40"/>
  <c r="K97" i="40"/>
  <c r="F97" i="40"/>
  <c r="E97" i="40"/>
  <c r="K96" i="40"/>
  <c r="F96" i="40"/>
  <c r="E96" i="40"/>
  <c r="K95" i="40"/>
  <c r="F95" i="40"/>
  <c r="E95" i="40"/>
  <c r="K94" i="40"/>
  <c r="F94" i="40"/>
  <c r="E94" i="40"/>
  <c r="K93" i="40"/>
  <c r="F93" i="40"/>
  <c r="E93" i="40"/>
  <c r="K92" i="40"/>
  <c r="F92" i="40"/>
  <c r="E92" i="40"/>
  <c r="K91" i="40"/>
  <c r="F91" i="40"/>
  <c r="E91" i="40"/>
  <c r="K90" i="40"/>
  <c r="F90" i="40"/>
  <c r="E90" i="40"/>
  <c r="K89" i="40"/>
  <c r="F89" i="40"/>
  <c r="E89" i="40"/>
  <c r="K88" i="40"/>
  <c r="F88" i="40"/>
  <c r="E88" i="40"/>
  <c r="K87" i="40"/>
  <c r="F87" i="40"/>
  <c r="E87" i="40"/>
  <c r="K86" i="40"/>
  <c r="F86" i="40"/>
  <c r="E86" i="40"/>
  <c r="K85" i="40"/>
  <c r="F85" i="40"/>
  <c r="E85" i="40"/>
  <c r="K84" i="40"/>
  <c r="F84" i="40"/>
  <c r="E84" i="40"/>
  <c r="K83" i="40"/>
  <c r="F83" i="40"/>
  <c r="E83" i="40"/>
  <c r="K82" i="40"/>
  <c r="F82" i="40"/>
  <c r="E82" i="40"/>
  <c r="K81" i="40"/>
  <c r="F81" i="40"/>
  <c r="E81" i="40"/>
  <c r="K80" i="40"/>
  <c r="F80" i="40"/>
  <c r="E80" i="40"/>
  <c r="K79" i="40"/>
  <c r="F79" i="40"/>
  <c r="E79" i="40"/>
  <c r="K78" i="40"/>
  <c r="F78" i="40"/>
  <c r="E78" i="40"/>
  <c r="K77" i="40"/>
  <c r="F77" i="40"/>
  <c r="E77" i="40"/>
  <c r="K76" i="40"/>
  <c r="F76" i="40"/>
  <c r="E76" i="40"/>
  <c r="K75" i="40"/>
  <c r="F75" i="40"/>
  <c r="E75" i="40"/>
  <c r="K74" i="40"/>
  <c r="F74" i="40"/>
  <c r="E74" i="40"/>
  <c r="K73" i="40"/>
  <c r="F73" i="40"/>
  <c r="E73" i="40"/>
  <c r="K72" i="40"/>
  <c r="F72" i="40"/>
  <c r="E72" i="40"/>
  <c r="K71" i="40"/>
  <c r="F71" i="40"/>
  <c r="E71" i="40"/>
  <c r="K70" i="40"/>
  <c r="F70" i="40"/>
  <c r="E70" i="40"/>
  <c r="K69" i="40"/>
  <c r="F69" i="40"/>
  <c r="E69" i="40"/>
  <c r="K68" i="40"/>
  <c r="F68" i="40"/>
  <c r="E68" i="40"/>
  <c r="K67" i="40"/>
  <c r="F67" i="40"/>
  <c r="E67" i="40"/>
  <c r="K66" i="40"/>
  <c r="F66" i="40"/>
  <c r="E66" i="40"/>
  <c r="K65" i="40"/>
  <c r="F65" i="40"/>
  <c r="E65" i="40"/>
  <c r="K64" i="40"/>
  <c r="F64" i="40"/>
  <c r="E64" i="40"/>
  <c r="K63" i="40"/>
  <c r="F63" i="40"/>
  <c r="E63" i="40"/>
  <c r="K62" i="40"/>
  <c r="F62" i="40"/>
  <c r="E62" i="40"/>
  <c r="C63" i="40" s="1"/>
  <c r="C64" i="40" s="1"/>
  <c r="K61" i="40"/>
  <c r="F61" i="40"/>
  <c r="E61" i="40"/>
  <c r="K60" i="40"/>
  <c r="F60" i="40"/>
  <c r="E60" i="40"/>
  <c r="K59" i="40"/>
  <c r="F59" i="40"/>
  <c r="E59" i="40"/>
  <c r="K58" i="40"/>
  <c r="F58" i="40"/>
  <c r="E58" i="40"/>
  <c r="K57" i="40"/>
  <c r="F57" i="40"/>
  <c r="E57" i="40"/>
  <c r="K56" i="40"/>
  <c r="F56" i="40"/>
  <c r="E56" i="40"/>
  <c r="K55" i="40"/>
  <c r="F55" i="40"/>
  <c r="E55" i="40"/>
  <c r="K54" i="40"/>
  <c r="F54" i="40"/>
  <c r="E54" i="40"/>
  <c r="K53" i="40"/>
  <c r="F53" i="40"/>
  <c r="E53" i="40"/>
  <c r="K52" i="40"/>
  <c r="F52" i="40"/>
  <c r="E52" i="40"/>
  <c r="K51" i="40"/>
  <c r="F51" i="40"/>
  <c r="E51" i="40"/>
  <c r="K50" i="40"/>
  <c r="F50" i="40"/>
  <c r="E50" i="40"/>
  <c r="K49" i="40"/>
  <c r="F49" i="40"/>
  <c r="E49" i="40"/>
  <c r="K48" i="40"/>
  <c r="F48" i="40"/>
  <c r="E48" i="40"/>
  <c r="K47" i="40"/>
  <c r="F47" i="40"/>
  <c r="E47" i="40"/>
  <c r="K46" i="40"/>
  <c r="F46" i="40"/>
  <c r="E46" i="40"/>
  <c r="K45" i="40"/>
  <c r="F45" i="40"/>
  <c r="E45" i="40"/>
  <c r="K44" i="40"/>
  <c r="F44" i="40"/>
  <c r="E44" i="40"/>
  <c r="K43" i="40"/>
  <c r="F43" i="40"/>
  <c r="E43" i="40"/>
  <c r="K42" i="40"/>
  <c r="F42" i="40"/>
  <c r="E42" i="40"/>
  <c r="K41" i="40"/>
  <c r="F41" i="40"/>
  <c r="E41" i="40"/>
  <c r="K40" i="40"/>
  <c r="F40" i="40"/>
  <c r="E40" i="40"/>
  <c r="K39" i="40"/>
  <c r="F39" i="40"/>
  <c r="E39" i="40"/>
  <c r="K38" i="40"/>
  <c r="F38" i="40"/>
  <c r="E38" i="40"/>
  <c r="K37" i="40"/>
  <c r="F37" i="40"/>
  <c r="E37" i="40"/>
  <c r="K36" i="40"/>
  <c r="F36" i="40"/>
  <c r="E36" i="40"/>
  <c r="K35" i="40"/>
  <c r="F35" i="40"/>
  <c r="E35" i="40"/>
  <c r="K34" i="40"/>
  <c r="F34" i="40"/>
  <c r="E34" i="40"/>
  <c r="K33" i="40"/>
  <c r="F33" i="40"/>
  <c r="E33" i="40"/>
  <c r="K32" i="40"/>
  <c r="F32" i="40"/>
  <c r="E32" i="40"/>
  <c r="K31" i="40"/>
  <c r="F31" i="40"/>
  <c r="E31" i="40"/>
  <c r="K30" i="40"/>
  <c r="F30" i="40"/>
  <c r="E30" i="40"/>
  <c r="K29" i="40"/>
  <c r="F29" i="40"/>
  <c r="E29" i="40"/>
  <c r="K28" i="40"/>
  <c r="F28" i="40"/>
  <c r="E28" i="40"/>
  <c r="K27" i="40"/>
  <c r="F27" i="40"/>
  <c r="E27" i="40"/>
  <c r="K26" i="40"/>
  <c r="F26" i="40"/>
  <c r="E26" i="40"/>
  <c r="K25" i="40"/>
  <c r="F25" i="40"/>
  <c r="E25" i="40"/>
  <c r="K24" i="40"/>
  <c r="F24" i="40"/>
  <c r="E24" i="40"/>
  <c r="K23" i="40"/>
  <c r="F23" i="40"/>
  <c r="E23" i="40"/>
  <c r="K22" i="40"/>
  <c r="F22" i="40"/>
  <c r="E22" i="40"/>
  <c r="K21" i="40"/>
  <c r="F21" i="40"/>
  <c r="E21" i="40"/>
  <c r="K20" i="40"/>
  <c r="F20" i="40"/>
  <c r="E20" i="40"/>
  <c r="K19" i="40"/>
  <c r="F19" i="40"/>
  <c r="E19" i="40"/>
  <c r="K18" i="40"/>
  <c r="F18" i="40"/>
  <c r="E18" i="40"/>
  <c r="K17" i="40"/>
  <c r="F17" i="40"/>
  <c r="E17" i="40"/>
  <c r="K16" i="40"/>
  <c r="F16" i="40"/>
  <c r="E16" i="40"/>
  <c r="K15" i="40"/>
  <c r="F15" i="40"/>
  <c r="E15" i="40"/>
  <c r="K14" i="40"/>
  <c r="F14" i="40"/>
  <c r="E14" i="40"/>
  <c r="K13" i="40"/>
  <c r="F13" i="40"/>
  <c r="E13" i="40"/>
  <c r="K12" i="40"/>
  <c r="F12" i="40"/>
  <c r="E12" i="40"/>
  <c r="K11" i="40"/>
  <c r="F11" i="40"/>
  <c r="E11" i="40"/>
  <c r="K10" i="40"/>
  <c r="F10" i="40"/>
  <c r="E10" i="40"/>
  <c r="K9" i="40"/>
  <c r="F9" i="40"/>
  <c r="E9" i="40"/>
  <c r="K8" i="40"/>
  <c r="F8" i="40"/>
  <c r="E8" i="40"/>
  <c r="K7" i="40"/>
  <c r="F7" i="40"/>
  <c r="E7" i="40"/>
  <c r="K6" i="40"/>
  <c r="F6" i="40"/>
  <c r="E6" i="40"/>
  <c r="K5" i="40"/>
  <c r="F5" i="40"/>
  <c r="E5" i="40"/>
  <c r="K4" i="40"/>
  <c r="F4" i="40"/>
  <c r="E4" i="40"/>
  <c r="K3" i="40"/>
  <c r="F3" i="40"/>
  <c r="E3" i="40"/>
  <c r="C3" i="40"/>
  <c r="K2" i="40"/>
  <c r="D2" i="40" s="1"/>
  <c r="F2" i="40"/>
  <c r="E2" i="40"/>
  <c r="C2" i="40"/>
  <c r="AW13" i="30"/>
  <c r="AW12" i="30"/>
  <c r="AW11" i="30"/>
  <c r="AW10" i="30"/>
  <c r="AW9" i="30"/>
  <c r="AW8" i="30"/>
  <c r="AW7" i="30"/>
  <c r="AW6" i="30"/>
  <c r="AW5" i="30"/>
  <c r="AW4" i="30"/>
  <c r="AW3" i="30"/>
  <c r="AW11" i="17"/>
  <c r="AW10" i="17"/>
  <c r="AW9" i="17"/>
  <c r="AW8" i="17"/>
  <c r="AW7" i="17"/>
  <c r="AW6" i="17"/>
  <c r="AW5" i="17"/>
  <c r="AW4" i="17"/>
  <c r="AW3" i="17"/>
  <c r="AU372" i="31"/>
  <c r="AT372" i="31"/>
  <c r="AU371" i="31"/>
  <c r="AT371" i="31"/>
  <c r="AU370" i="31"/>
  <c r="AT370" i="31"/>
  <c r="D370" i="31"/>
  <c r="AU369" i="31"/>
  <c r="AT369" i="31"/>
  <c r="C369" i="31"/>
  <c r="D369" i="31" s="1"/>
  <c r="G369" i="31" s="1"/>
  <c r="B369" i="31"/>
  <c r="AT368" i="31" s="1"/>
  <c r="J360" i="31"/>
  <c r="H360" i="31"/>
  <c r="G360" i="31"/>
  <c r="E360" i="31"/>
  <c r="D360" i="31"/>
  <c r="B360" i="31"/>
  <c r="J359" i="31"/>
  <c r="H359" i="31"/>
  <c r="G359" i="31"/>
  <c r="G361" i="31" s="1"/>
  <c r="E359" i="31"/>
  <c r="D359" i="31"/>
  <c r="B359" i="31"/>
  <c r="J358" i="31"/>
  <c r="J361" i="31" s="1"/>
  <c r="H358" i="31"/>
  <c r="H361" i="31" s="1"/>
  <c r="G358" i="31"/>
  <c r="E358" i="31"/>
  <c r="E361" i="31" s="1"/>
  <c r="D358" i="31"/>
  <c r="D361" i="31" s="1"/>
  <c r="B358" i="31"/>
  <c r="B361" i="31" s="1"/>
  <c r="A334" i="31"/>
  <c r="AF312" i="31"/>
  <c r="AD312" i="31"/>
  <c r="AC312" i="31"/>
  <c r="AA312" i="31"/>
  <c r="Z312" i="31"/>
  <c r="X312" i="31"/>
  <c r="J312" i="31"/>
  <c r="H312" i="31"/>
  <c r="G312" i="31"/>
  <c r="E312" i="31"/>
  <c r="D312" i="31"/>
  <c r="B312" i="31"/>
  <c r="AF311" i="31"/>
  <c r="AF313" i="31" s="1"/>
  <c r="AD311" i="31"/>
  <c r="AD313" i="31" s="1"/>
  <c r="AC311" i="31"/>
  <c r="AA311" i="31"/>
  <c r="Z311" i="31"/>
  <c r="X311" i="31"/>
  <c r="J311" i="31"/>
  <c r="H311" i="31"/>
  <c r="H313" i="31" s="1"/>
  <c r="G311" i="31"/>
  <c r="G313" i="31" s="1"/>
  <c r="E311" i="31"/>
  <c r="E313" i="31" s="1"/>
  <c r="D311" i="31"/>
  <c r="B311" i="31"/>
  <c r="AF310" i="31"/>
  <c r="AD310" i="31"/>
  <c r="AC310" i="31"/>
  <c r="AC313" i="31" s="1"/>
  <c r="AA310" i="31"/>
  <c r="AA313" i="31" s="1"/>
  <c r="Z310" i="31"/>
  <c r="Z313" i="31" s="1"/>
  <c r="X310" i="31"/>
  <c r="X313" i="31" s="1"/>
  <c r="J310" i="31"/>
  <c r="J313" i="31" s="1"/>
  <c r="H310" i="31"/>
  <c r="G310" i="31"/>
  <c r="E310" i="31"/>
  <c r="D310" i="31"/>
  <c r="D313" i="31" s="1"/>
  <c r="B310" i="31"/>
  <c r="B313" i="31" s="1"/>
  <c r="AC266" i="31"/>
  <c r="X266" i="31"/>
  <c r="R266" i="31"/>
  <c r="M266" i="31"/>
  <c r="F266" i="31"/>
  <c r="K303" i="31" s="1"/>
  <c r="B266" i="31"/>
  <c r="B303" i="31" s="1"/>
  <c r="AN265" i="31"/>
  <c r="AK265" i="31"/>
  <c r="K351" i="31" s="1"/>
  <c r="AH265" i="31"/>
  <c r="B351" i="31" s="1"/>
  <c r="AF265" i="31"/>
  <c r="AC265" i="31"/>
  <c r="X265" i="31"/>
  <c r="U265" i="31"/>
  <c r="R265" i="31"/>
  <c r="M265" i="31"/>
  <c r="J265" i="31"/>
  <c r="F265" i="31"/>
  <c r="K302" i="31" s="1"/>
  <c r="B265" i="31"/>
  <c r="B302" i="31" s="1"/>
  <c r="AN264" i="31"/>
  <c r="AK264" i="31"/>
  <c r="K350" i="31" s="1"/>
  <c r="AH264" i="31"/>
  <c r="B350" i="31" s="1"/>
  <c r="AF264" i="31"/>
  <c r="AC264" i="31"/>
  <c r="X264" i="31"/>
  <c r="U264" i="31"/>
  <c r="R264" i="31"/>
  <c r="M264" i="31"/>
  <c r="J264" i="31"/>
  <c r="F264" i="31"/>
  <c r="K301" i="31" s="1"/>
  <c r="B264" i="31"/>
  <c r="B301" i="31" s="1"/>
  <c r="A259" i="31"/>
  <c r="AF246" i="31"/>
  <c r="AD246" i="31"/>
  <c r="AC246" i="31"/>
  <c r="AA246" i="31"/>
  <c r="X246" i="31"/>
  <c r="W246" i="31"/>
  <c r="U246" i="31"/>
  <c r="T246" i="31"/>
  <c r="R246" i="31"/>
  <c r="Q246" i="31"/>
  <c r="O246" i="31"/>
  <c r="N246" i="31"/>
  <c r="L246" i="31"/>
  <c r="J246" i="31"/>
  <c r="H246" i="31"/>
  <c r="G246" i="31"/>
  <c r="E246" i="31"/>
  <c r="D246" i="31"/>
  <c r="B246" i="31"/>
  <c r="AF245" i="31"/>
  <c r="AD245" i="31"/>
  <c r="AA245" i="31"/>
  <c r="Z245" i="31"/>
  <c r="X245" i="31"/>
  <c r="W245" i="31"/>
  <c r="U245" i="31"/>
  <c r="T245" i="31"/>
  <c r="R245" i="31"/>
  <c r="Q245" i="31"/>
  <c r="O245" i="31"/>
  <c r="N245" i="31"/>
  <c r="L245" i="31"/>
  <c r="J245" i="31"/>
  <c r="H245" i="31"/>
  <c r="G245" i="31"/>
  <c r="E245" i="31"/>
  <c r="D245" i="31"/>
  <c r="B245" i="31"/>
  <c r="AF244" i="31"/>
  <c r="AD244" i="31"/>
  <c r="AC244" i="31"/>
  <c r="Z244" i="31"/>
  <c r="X244" i="31"/>
  <c r="U244" i="31"/>
  <c r="R244" i="31"/>
  <c r="O244" i="31"/>
  <c r="L244" i="31"/>
  <c r="H244" i="31"/>
  <c r="E244" i="31"/>
  <c r="B244" i="31"/>
  <c r="AD243" i="31"/>
  <c r="AC243" i="31"/>
  <c r="AA243" i="31"/>
  <c r="Z243" i="31"/>
  <c r="X243" i="31"/>
  <c r="W243" i="31"/>
  <c r="R243" i="31"/>
  <c r="Q243" i="31"/>
  <c r="L243" i="31"/>
  <c r="H243" i="31"/>
  <c r="G243" i="31"/>
  <c r="B243" i="31"/>
  <c r="AF242" i="31"/>
  <c r="AC242" i="31"/>
  <c r="AA242" i="31"/>
  <c r="Z242" i="31"/>
  <c r="W242" i="31"/>
  <c r="U242" i="31"/>
  <c r="T242" i="31"/>
  <c r="Q242" i="31"/>
  <c r="O242" i="31"/>
  <c r="N242" i="31"/>
  <c r="J242" i="31"/>
  <c r="G242" i="31"/>
  <c r="E242" i="31"/>
  <c r="D242" i="31"/>
  <c r="AF238" i="31"/>
  <c r="AD238" i="31"/>
  <c r="AC238" i="31"/>
  <c r="AA238" i="31"/>
  <c r="X238" i="31"/>
  <c r="W238" i="31"/>
  <c r="U238" i="31"/>
  <c r="T238" i="31"/>
  <c r="R238" i="31"/>
  <c r="Q238" i="31"/>
  <c r="O238" i="31"/>
  <c r="N238" i="31"/>
  <c r="L238" i="31"/>
  <c r="J238" i="31"/>
  <c r="H238" i="31"/>
  <c r="G238" i="31"/>
  <c r="E238" i="31"/>
  <c r="D238" i="31"/>
  <c r="B238" i="31"/>
  <c r="AF237" i="31"/>
  <c r="AD237" i="31"/>
  <c r="AA237" i="31"/>
  <c r="Z237" i="31"/>
  <c r="X237" i="31"/>
  <c r="W237" i="31"/>
  <c r="U237" i="31"/>
  <c r="T237" i="31"/>
  <c r="R237" i="31"/>
  <c r="Q237" i="31"/>
  <c r="O237" i="31"/>
  <c r="N237" i="31"/>
  <c r="L237" i="31"/>
  <c r="J237" i="31"/>
  <c r="H237" i="31"/>
  <c r="G237" i="31"/>
  <c r="E237" i="31"/>
  <c r="D237" i="31"/>
  <c r="B237" i="31"/>
  <c r="AF236" i="31"/>
  <c r="AD236" i="31"/>
  <c r="AC236" i="31"/>
  <c r="Z236" i="31"/>
  <c r="X236" i="31"/>
  <c r="U236" i="31"/>
  <c r="R236" i="31"/>
  <c r="O236" i="31"/>
  <c r="L236" i="31"/>
  <c r="H236" i="31"/>
  <c r="E236" i="31"/>
  <c r="D236" i="31"/>
  <c r="B236" i="31"/>
  <c r="AD235" i="31"/>
  <c r="AC235" i="31"/>
  <c r="AA235" i="31"/>
  <c r="Z235" i="31"/>
  <c r="X235" i="31"/>
  <c r="W235" i="31"/>
  <c r="R235" i="31"/>
  <c r="Q235" i="31"/>
  <c r="L235" i="31"/>
  <c r="H235" i="31"/>
  <c r="G235" i="31"/>
  <c r="B235" i="31"/>
  <c r="AF234" i="31"/>
  <c r="AC234" i="31"/>
  <c r="AA234" i="31"/>
  <c r="Z234" i="31"/>
  <c r="W234" i="31"/>
  <c r="U234" i="31"/>
  <c r="T234" i="31"/>
  <c r="Q234" i="31"/>
  <c r="O234" i="31"/>
  <c r="N234" i="31"/>
  <c r="J234" i="31"/>
  <c r="G234" i="31"/>
  <c r="E234" i="31"/>
  <c r="D234" i="31"/>
  <c r="AF232" i="31"/>
  <c r="AD232" i="31"/>
  <c r="AC232" i="31"/>
  <c r="AA232" i="31"/>
  <c r="X232" i="31"/>
  <c r="W232" i="31"/>
  <c r="U232" i="31"/>
  <c r="T232" i="31"/>
  <c r="R232" i="31"/>
  <c r="Q232" i="31"/>
  <c r="O232" i="31"/>
  <c r="N232" i="31"/>
  <c r="L232" i="31"/>
  <c r="J232" i="31"/>
  <c r="H232" i="31"/>
  <c r="G232" i="31"/>
  <c r="E232" i="31"/>
  <c r="D232" i="31"/>
  <c r="B232" i="31"/>
  <c r="AF231" i="31"/>
  <c r="AD231" i="31"/>
  <c r="AA231" i="31"/>
  <c r="Z231" i="31"/>
  <c r="X231" i="31"/>
  <c r="W231" i="31"/>
  <c r="U231" i="31"/>
  <c r="T231" i="31"/>
  <c r="R231" i="31"/>
  <c r="Q231" i="31"/>
  <c r="O231" i="31"/>
  <c r="N231" i="31"/>
  <c r="L231" i="31"/>
  <c r="J231" i="31"/>
  <c r="H231" i="31"/>
  <c r="G231" i="31"/>
  <c r="E231" i="31"/>
  <c r="D231" i="31"/>
  <c r="B231" i="31"/>
  <c r="AF230" i="31"/>
  <c r="AD230" i="31"/>
  <c r="AC230" i="31"/>
  <c r="Z230" i="31"/>
  <c r="X230" i="31"/>
  <c r="U230" i="31"/>
  <c r="R230" i="31"/>
  <c r="O230" i="31"/>
  <c r="L230" i="31"/>
  <c r="H230" i="31"/>
  <c r="E230" i="31"/>
  <c r="D230" i="31"/>
  <c r="B230" i="31"/>
  <c r="AD229" i="31"/>
  <c r="AC229" i="31"/>
  <c r="AA229" i="31"/>
  <c r="Z229" i="31"/>
  <c r="X229" i="31"/>
  <c r="W229" i="31"/>
  <c r="R229" i="31"/>
  <c r="Q229" i="31"/>
  <c r="L229" i="31"/>
  <c r="H229" i="31"/>
  <c r="G229" i="31"/>
  <c r="B229" i="31"/>
  <c r="AF228" i="31"/>
  <c r="AC228" i="31"/>
  <c r="AA228" i="31"/>
  <c r="Z228" i="31"/>
  <c r="W228" i="31"/>
  <c r="U228" i="31"/>
  <c r="T228" i="31"/>
  <c r="Q228" i="31"/>
  <c r="O228" i="31"/>
  <c r="N228" i="31"/>
  <c r="J228" i="31"/>
  <c r="G228" i="31"/>
  <c r="E228" i="31"/>
  <c r="D228" i="31"/>
  <c r="AF226" i="31"/>
  <c r="AD226" i="31"/>
  <c r="AC226" i="31"/>
  <c r="AA226" i="31"/>
  <c r="X226" i="31"/>
  <c r="W226" i="31"/>
  <c r="U226" i="31"/>
  <c r="T226" i="31"/>
  <c r="R226" i="31"/>
  <c r="Q226" i="31"/>
  <c r="O226" i="31"/>
  <c r="N226" i="31"/>
  <c r="L226" i="31"/>
  <c r="J226" i="31"/>
  <c r="H226" i="31"/>
  <c r="G226" i="31"/>
  <c r="E226" i="31"/>
  <c r="D226" i="31"/>
  <c r="B226" i="31"/>
  <c r="AF225" i="31"/>
  <c r="AD225" i="31"/>
  <c r="AA225" i="31"/>
  <c r="Z225" i="31"/>
  <c r="X225" i="31"/>
  <c r="W225" i="31"/>
  <c r="U225" i="31"/>
  <c r="T225" i="31"/>
  <c r="R225" i="31"/>
  <c r="Q225" i="31"/>
  <c r="O225" i="31"/>
  <c r="N225" i="31"/>
  <c r="L225" i="31"/>
  <c r="J225" i="31"/>
  <c r="H225" i="31"/>
  <c r="G225" i="31"/>
  <c r="E225" i="31"/>
  <c r="D225" i="31"/>
  <c r="B225" i="31"/>
  <c r="AF224" i="31"/>
  <c r="AD224" i="31"/>
  <c r="AC224" i="31"/>
  <c r="Z224" i="31"/>
  <c r="X224" i="31"/>
  <c r="U224" i="31"/>
  <c r="R224" i="31"/>
  <c r="O224" i="31"/>
  <c r="L224" i="31"/>
  <c r="H224" i="31"/>
  <c r="E224" i="31"/>
  <c r="B224" i="31"/>
  <c r="AD223" i="31"/>
  <c r="AC223" i="31"/>
  <c r="AA223" i="31"/>
  <c r="Z223" i="31"/>
  <c r="X223" i="31"/>
  <c r="W223" i="31"/>
  <c r="R223" i="31"/>
  <c r="Q223" i="31"/>
  <c r="L223" i="31"/>
  <c r="H223" i="31"/>
  <c r="G223" i="31"/>
  <c r="B223" i="31"/>
  <c r="AF222" i="31"/>
  <c r="AC222" i="31"/>
  <c r="AA222" i="31"/>
  <c r="Z222" i="31"/>
  <c r="W222" i="31"/>
  <c r="U222" i="31"/>
  <c r="T222" i="31"/>
  <c r="Q222" i="31"/>
  <c r="O222" i="31"/>
  <c r="N222" i="31"/>
  <c r="J222" i="31"/>
  <c r="G222" i="31"/>
  <c r="E222" i="31"/>
  <c r="D222" i="31"/>
  <c r="AF220" i="31"/>
  <c r="AD220" i="31"/>
  <c r="AC220" i="31"/>
  <c r="AA220" i="31"/>
  <c r="X220" i="31"/>
  <c r="W220" i="31"/>
  <c r="U220" i="31"/>
  <c r="T220" i="31"/>
  <c r="R220" i="31"/>
  <c r="Q220" i="31"/>
  <c r="O220" i="31"/>
  <c r="N220" i="31"/>
  <c r="L220" i="31"/>
  <c r="J220" i="31"/>
  <c r="H220" i="31"/>
  <c r="G220" i="31"/>
  <c r="E220" i="31"/>
  <c r="D220" i="31"/>
  <c r="B220" i="31"/>
  <c r="AF219" i="31"/>
  <c r="AD219" i="31"/>
  <c r="AA219" i="31"/>
  <c r="Z219" i="31"/>
  <c r="X219" i="31"/>
  <c r="W219" i="31"/>
  <c r="U219" i="31"/>
  <c r="T219" i="31"/>
  <c r="R219" i="31"/>
  <c r="Q219" i="31"/>
  <c r="O219" i="31"/>
  <c r="N219" i="31"/>
  <c r="L219" i="31"/>
  <c r="J219" i="31"/>
  <c r="H219" i="31"/>
  <c r="G219" i="31"/>
  <c r="E219" i="31"/>
  <c r="D219" i="31"/>
  <c r="B219" i="31"/>
  <c r="AF218" i="31"/>
  <c r="AD218" i="31"/>
  <c r="AC218" i="31"/>
  <c r="Z218" i="31"/>
  <c r="X218" i="31"/>
  <c r="U218" i="31"/>
  <c r="R218" i="31"/>
  <c r="O218" i="31"/>
  <c r="L218" i="31"/>
  <c r="H218" i="31"/>
  <c r="E218" i="31"/>
  <c r="B218" i="31"/>
  <c r="AD217" i="31"/>
  <c r="AC217" i="31"/>
  <c r="AA217" i="31"/>
  <c r="Z217" i="31"/>
  <c r="X217" i="31"/>
  <c r="W217" i="31"/>
  <c r="R217" i="31"/>
  <c r="Q217" i="31"/>
  <c r="L217" i="31"/>
  <c r="H217" i="31"/>
  <c r="G217" i="31"/>
  <c r="B217" i="31"/>
  <c r="AF216" i="31"/>
  <c r="AC216" i="31"/>
  <c r="AA216" i="31"/>
  <c r="Z216" i="31"/>
  <c r="W216" i="31"/>
  <c r="U216" i="31"/>
  <c r="T216" i="31"/>
  <c r="Q216" i="31"/>
  <c r="O216" i="31"/>
  <c r="N216" i="31"/>
  <c r="J216" i="31"/>
  <c r="G216" i="31"/>
  <c r="E216" i="31"/>
  <c r="D216" i="31"/>
  <c r="E213" i="31"/>
  <c r="AD211" i="31"/>
  <c r="AD209" i="31"/>
  <c r="X209" i="31"/>
  <c r="AF205" i="31"/>
  <c r="AF213" i="31" s="1"/>
  <c r="AD205" i="31"/>
  <c r="AD213" i="31" s="1"/>
  <c r="AC205" i="31"/>
  <c r="AC213" i="31" s="1"/>
  <c r="AA205" i="31"/>
  <c r="AA213" i="31" s="1"/>
  <c r="Z205" i="31"/>
  <c r="Z213" i="31" s="1"/>
  <c r="X205" i="31"/>
  <c r="X213" i="31" s="1"/>
  <c r="W205" i="31"/>
  <c r="W213" i="31" s="1"/>
  <c r="U205" i="31"/>
  <c r="U213" i="31" s="1"/>
  <c r="T205" i="31"/>
  <c r="T213" i="31" s="1"/>
  <c r="R205" i="31"/>
  <c r="R213" i="31" s="1"/>
  <c r="Q205" i="31"/>
  <c r="Q213" i="31" s="1"/>
  <c r="O205" i="31"/>
  <c r="O213" i="31" s="1"/>
  <c r="N205" i="31"/>
  <c r="N213" i="31" s="1"/>
  <c r="L205" i="31"/>
  <c r="L213" i="31" s="1"/>
  <c r="J205" i="31"/>
  <c r="J213" i="31" s="1"/>
  <c r="H205" i="31"/>
  <c r="H213" i="31" s="1"/>
  <c r="G205" i="31"/>
  <c r="G213" i="31" s="1"/>
  <c r="E205" i="31"/>
  <c r="D205" i="31"/>
  <c r="D213" i="31" s="1"/>
  <c r="B205" i="31"/>
  <c r="B213" i="31" s="1"/>
  <c r="AF204" i="31"/>
  <c r="AF212" i="31" s="1"/>
  <c r="AD204" i="31"/>
  <c r="AD212" i="31" s="1"/>
  <c r="AC204" i="31"/>
  <c r="AC212" i="31" s="1"/>
  <c r="AA204" i="31"/>
  <c r="AA212" i="31" s="1"/>
  <c r="Z204" i="31"/>
  <c r="Z212" i="31" s="1"/>
  <c r="X204" i="31"/>
  <c r="X212" i="31" s="1"/>
  <c r="W204" i="31"/>
  <c r="W212" i="31" s="1"/>
  <c r="U204" i="31"/>
  <c r="U212" i="31" s="1"/>
  <c r="T204" i="31"/>
  <c r="T212" i="31" s="1"/>
  <c r="R204" i="31"/>
  <c r="R212" i="31" s="1"/>
  <c r="Q204" i="31"/>
  <c r="Q212" i="31" s="1"/>
  <c r="O204" i="31"/>
  <c r="O212" i="31" s="1"/>
  <c r="N204" i="31"/>
  <c r="N212" i="31" s="1"/>
  <c r="L204" i="31"/>
  <c r="L212" i="31" s="1"/>
  <c r="J204" i="31"/>
  <c r="J212" i="31" s="1"/>
  <c r="H204" i="31"/>
  <c r="H212" i="31" s="1"/>
  <c r="G204" i="31"/>
  <c r="G212" i="31" s="1"/>
  <c r="E204" i="31"/>
  <c r="E212" i="31" s="1"/>
  <c r="D204" i="31"/>
  <c r="D212" i="31" s="1"/>
  <c r="B204" i="31"/>
  <c r="B212" i="31" s="1"/>
  <c r="AF203" i="31"/>
  <c r="AF211" i="31" s="1"/>
  <c r="AD203" i="31"/>
  <c r="AC203" i="31"/>
  <c r="AC211" i="31" s="1"/>
  <c r="AA203" i="31"/>
  <c r="AA211" i="31" s="1"/>
  <c r="Z203" i="31"/>
  <c r="Z211" i="31" s="1"/>
  <c r="X203" i="31"/>
  <c r="X211" i="31" s="1"/>
  <c r="W203" i="31"/>
  <c r="W211" i="31" s="1"/>
  <c r="U203" i="31"/>
  <c r="U211" i="31" s="1"/>
  <c r="T203" i="31"/>
  <c r="T211" i="31" s="1"/>
  <c r="R203" i="31"/>
  <c r="R211" i="31" s="1"/>
  <c r="Q203" i="31"/>
  <c r="Q211" i="31" s="1"/>
  <c r="O203" i="31"/>
  <c r="O211" i="31" s="1"/>
  <c r="N203" i="31"/>
  <c r="N211" i="31" s="1"/>
  <c r="L203" i="31"/>
  <c r="L211" i="31" s="1"/>
  <c r="J203" i="31"/>
  <c r="J211" i="31" s="1"/>
  <c r="H203" i="31"/>
  <c r="H211" i="31" s="1"/>
  <c r="G203" i="31"/>
  <c r="G211" i="31" s="1"/>
  <c r="E203" i="31"/>
  <c r="E211" i="31" s="1"/>
  <c r="D203" i="31"/>
  <c r="D211" i="31" s="1"/>
  <c r="B203" i="31"/>
  <c r="B211" i="31" s="1"/>
  <c r="AF202" i="31"/>
  <c r="AF210" i="31" s="1"/>
  <c r="AD202" i="31"/>
  <c r="AD210" i="31" s="1"/>
  <c r="AC202" i="31"/>
  <c r="AC210" i="31" s="1"/>
  <c r="AA202" i="31"/>
  <c r="AA210" i="31" s="1"/>
  <c r="Z202" i="31"/>
  <c r="Z210" i="31" s="1"/>
  <c r="X202" i="31"/>
  <c r="X210" i="31" s="1"/>
  <c r="W202" i="31"/>
  <c r="W210" i="31" s="1"/>
  <c r="U202" i="31"/>
  <c r="U210" i="31" s="1"/>
  <c r="T202" i="31"/>
  <c r="T210" i="31" s="1"/>
  <c r="R202" i="31"/>
  <c r="R210" i="31" s="1"/>
  <c r="Q202" i="31"/>
  <c r="Q210" i="31" s="1"/>
  <c r="O202" i="31"/>
  <c r="O210" i="31" s="1"/>
  <c r="N202" i="31"/>
  <c r="N210" i="31" s="1"/>
  <c r="L202" i="31"/>
  <c r="L210" i="31" s="1"/>
  <c r="J202" i="31"/>
  <c r="J210" i="31" s="1"/>
  <c r="H202" i="31"/>
  <c r="H210" i="31" s="1"/>
  <c r="G202" i="31"/>
  <c r="G210" i="31" s="1"/>
  <c r="E202" i="31"/>
  <c r="E210" i="31" s="1"/>
  <c r="D202" i="31"/>
  <c r="D210" i="31" s="1"/>
  <c r="B202" i="31"/>
  <c r="B210" i="31" s="1"/>
  <c r="AF201" i="31"/>
  <c r="AF235" i="31" s="1"/>
  <c r="AD201" i="31"/>
  <c r="AD234" i="31" s="1"/>
  <c r="AC201" i="31"/>
  <c r="AC206" i="31" s="1"/>
  <c r="AC207" i="31" s="1"/>
  <c r="AC219" i="31" s="1"/>
  <c r="AA201" i="31"/>
  <c r="AA206" i="31" s="1"/>
  <c r="Z201" i="31"/>
  <c r="X201" i="31"/>
  <c r="X234" i="31" s="1"/>
  <c r="W201" i="31"/>
  <c r="U201" i="31"/>
  <c r="U235" i="31" s="1"/>
  <c r="T201" i="31"/>
  <c r="T236" i="31" s="1"/>
  <c r="R201" i="31"/>
  <c r="R234" i="31" s="1"/>
  <c r="Q201" i="31"/>
  <c r="O201" i="31"/>
  <c r="O235" i="31" s="1"/>
  <c r="N201" i="31"/>
  <c r="N236" i="31" s="1"/>
  <c r="L201" i="31"/>
  <c r="J201" i="31"/>
  <c r="J235" i="31" s="1"/>
  <c r="H201" i="31"/>
  <c r="H234" i="31" s="1"/>
  <c r="G201" i="31"/>
  <c r="G236" i="31" s="1"/>
  <c r="E201" i="31"/>
  <c r="E235" i="31" s="1"/>
  <c r="D201" i="31"/>
  <c r="B201" i="31"/>
  <c r="B234" i="31" s="1"/>
  <c r="AF200" i="31"/>
  <c r="AD200" i="31"/>
  <c r="AC200" i="31"/>
  <c r="AA200" i="31"/>
  <c r="Z200" i="31"/>
  <c r="X200" i="31"/>
  <c r="W200" i="31"/>
  <c r="U200" i="31"/>
  <c r="T200" i="31"/>
  <c r="AM196" i="31" s="1"/>
  <c r="R200" i="31"/>
  <c r="Q200" i="31"/>
  <c r="O200" i="31"/>
  <c r="N200" i="31"/>
  <c r="AK195" i="31" s="1"/>
  <c r="L200" i="31"/>
  <c r="AK194" i="31" s="1"/>
  <c r="J200" i="31"/>
  <c r="H200" i="31"/>
  <c r="AJ195" i="31" s="1"/>
  <c r="G200" i="31"/>
  <c r="E200" i="31"/>
  <c r="D200" i="31"/>
  <c r="AH194" i="31" s="1"/>
  <c r="B200" i="31"/>
  <c r="AE199" i="31"/>
  <c r="AB199" i="31"/>
  <c r="Y199" i="31"/>
  <c r="V199" i="31"/>
  <c r="S199" i="31"/>
  <c r="P199" i="31"/>
  <c r="M199" i="31"/>
  <c r="I199" i="31"/>
  <c r="F199" i="31"/>
  <c r="A199" i="31"/>
  <c r="AQ198" i="31"/>
  <c r="AP198" i="31"/>
  <c r="AO198" i="31"/>
  <c r="AN198" i="31"/>
  <c r="AM198" i="31"/>
  <c r="AL198" i="31"/>
  <c r="AK198" i="31"/>
  <c r="AJ198" i="31"/>
  <c r="AI198" i="31"/>
  <c r="AH198" i="31"/>
  <c r="AG198" i="31"/>
  <c r="AE198" i="31"/>
  <c r="AB198" i="31"/>
  <c r="Y198" i="31"/>
  <c r="V198" i="31"/>
  <c r="S198" i="31"/>
  <c r="P198" i="31"/>
  <c r="M198" i="31"/>
  <c r="I198" i="31"/>
  <c r="F198" i="31"/>
  <c r="A198" i="31"/>
  <c r="AQ197" i="31"/>
  <c r="AP197" i="31"/>
  <c r="AO197" i="31"/>
  <c r="AN197" i="31"/>
  <c r="AM197" i="31"/>
  <c r="AL197" i="31"/>
  <c r="AK197" i="31"/>
  <c r="AJ197" i="31"/>
  <c r="AI197" i="31"/>
  <c r="AH197" i="31"/>
  <c r="AG197" i="31"/>
  <c r="AE197" i="31"/>
  <c r="AB197" i="31"/>
  <c r="Y197" i="31"/>
  <c r="V197" i="31"/>
  <c r="S197" i="31"/>
  <c r="P197" i="31"/>
  <c r="M197" i="31"/>
  <c r="I197" i="31"/>
  <c r="F197" i="31"/>
  <c r="A197" i="31"/>
  <c r="AQ196" i="31"/>
  <c r="AP196" i="31"/>
  <c r="AO196" i="31"/>
  <c r="AN196" i="31"/>
  <c r="AK196" i="31"/>
  <c r="AJ196" i="31"/>
  <c r="AH196" i="31"/>
  <c r="AG196" i="31"/>
  <c r="AE196" i="31"/>
  <c r="AB196" i="31"/>
  <c r="Y196" i="31"/>
  <c r="V196" i="31"/>
  <c r="S196" i="31"/>
  <c r="P196" i="31"/>
  <c r="M196" i="31"/>
  <c r="I196" i="31"/>
  <c r="F196" i="31"/>
  <c r="A196" i="31"/>
  <c r="AQ195" i="31"/>
  <c r="AP195" i="31"/>
  <c r="AO195" i="31"/>
  <c r="AN195" i="31"/>
  <c r="AG195" i="31"/>
  <c r="AE195" i="31"/>
  <c r="AB195" i="31"/>
  <c r="Y195" i="31"/>
  <c r="V195" i="31"/>
  <c r="S195" i="31"/>
  <c r="P195" i="31"/>
  <c r="M195" i="31"/>
  <c r="I195" i="31"/>
  <c r="F195" i="31"/>
  <c r="AQ194" i="31"/>
  <c r="AP194" i="31"/>
  <c r="AO194" i="31"/>
  <c r="AN194" i="31"/>
  <c r="AL194" i="31"/>
  <c r="AI194" i="31"/>
  <c r="AG194" i="31"/>
  <c r="AE194" i="31"/>
  <c r="AB194" i="31"/>
  <c r="Y194" i="31"/>
  <c r="V194" i="31"/>
  <c r="S194" i="31"/>
  <c r="P194" i="31"/>
  <c r="M194" i="31"/>
  <c r="I194" i="31"/>
  <c r="F194" i="31"/>
  <c r="AD192" i="31"/>
  <c r="AA192" i="31"/>
  <c r="X192" i="31"/>
  <c r="U192" i="31"/>
  <c r="R192" i="31"/>
  <c r="O192" i="31"/>
  <c r="L192" i="31"/>
  <c r="H192" i="31"/>
  <c r="E192" i="31"/>
  <c r="E187" i="31"/>
  <c r="E186" i="31"/>
  <c r="B253" i="31" s="1"/>
  <c r="A186" i="31"/>
  <c r="E185" i="31"/>
  <c r="E184" i="31"/>
  <c r="B252" i="31" s="1"/>
  <c r="A184" i="31"/>
  <c r="E183" i="31"/>
  <c r="E182" i="31"/>
  <c r="B251" i="31" s="1"/>
  <c r="A182" i="31"/>
  <c r="E181" i="31"/>
  <c r="E180" i="31"/>
  <c r="B250" i="31" s="1"/>
  <c r="A180" i="31"/>
  <c r="E179" i="31"/>
  <c r="E178" i="31"/>
  <c r="B249" i="31" s="1"/>
  <c r="A178" i="31"/>
  <c r="S177" i="31"/>
  <c r="M177" i="31"/>
  <c r="K176" i="31"/>
  <c r="A174" i="31"/>
  <c r="AF170" i="31"/>
  <c r="AD170" i="31"/>
  <c r="AC170" i="31"/>
  <c r="AA170" i="31"/>
  <c r="Z170" i="31"/>
  <c r="X170" i="31"/>
  <c r="W170" i="31"/>
  <c r="U170" i="31"/>
  <c r="AF161" i="31"/>
  <c r="AD161" i="31"/>
  <c r="AC161" i="31"/>
  <c r="AA161" i="31"/>
  <c r="Z161" i="31"/>
  <c r="X161" i="31"/>
  <c r="W161" i="31"/>
  <c r="U161" i="31"/>
  <c r="T161" i="31"/>
  <c r="R161" i="31"/>
  <c r="Q161" i="31"/>
  <c r="O161" i="31"/>
  <c r="N161" i="31"/>
  <c r="L161" i="31"/>
  <c r="J161" i="31"/>
  <c r="H161" i="31"/>
  <c r="G161" i="31"/>
  <c r="E161" i="31"/>
  <c r="D161" i="31"/>
  <c r="B161" i="31"/>
  <c r="AF160" i="31"/>
  <c r="AD160" i="31"/>
  <c r="AC160" i="31"/>
  <c r="AA160" i="31"/>
  <c r="Z160" i="31"/>
  <c r="X160" i="31"/>
  <c r="W160" i="31"/>
  <c r="U160" i="31"/>
  <c r="T160" i="31"/>
  <c r="R160" i="31"/>
  <c r="O160" i="31"/>
  <c r="N160" i="31"/>
  <c r="L160" i="31"/>
  <c r="H160" i="31"/>
  <c r="E160" i="31"/>
  <c r="D160" i="31"/>
  <c r="B160" i="31"/>
  <c r="AF159" i="31"/>
  <c r="AD159" i="31"/>
  <c r="AC159" i="31"/>
  <c r="AA159" i="31"/>
  <c r="Z159" i="31"/>
  <c r="X159" i="31"/>
  <c r="W159" i="31"/>
  <c r="U159" i="31"/>
  <c r="T159" i="31"/>
  <c r="R159" i="31"/>
  <c r="Q159" i="31"/>
  <c r="L159" i="31"/>
  <c r="J159" i="31"/>
  <c r="H159" i="31"/>
  <c r="G159" i="31"/>
  <c r="E159" i="31"/>
  <c r="B159" i="31"/>
  <c r="AF158" i="31"/>
  <c r="AD158" i="31"/>
  <c r="AC158" i="31"/>
  <c r="AA158" i="31"/>
  <c r="Z158" i="31"/>
  <c r="X158" i="31"/>
  <c r="W158" i="31"/>
  <c r="U158" i="31"/>
  <c r="R158" i="31"/>
  <c r="Q158" i="31"/>
  <c r="O158" i="31"/>
  <c r="N158" i="31"/>
  <c r="L158" i="31"/>
  <c r="J158" i="31"/>
  <c r="G158" i="31"/>
  <c r="E158" i="31"/>
  <c r="D158" i="31"/>
  <c r="AF157" i="31"/>
  <c r="AD157" i="31"/>
  <c r="AC157" i="31"/>
  <c r="AA157" i="31"/>
  <c r="Z157" i="31"/>
  <c r="X157" i="31"/>
  <c r="W157" i="31"/>
  <c r="U157" i="31"/>
  <c r="T157" i="31"/>
  <c r="Q157" i="31"/>
  <c r="O157" i="31"/>
  <c r="N157" i="31"/>
  <c r="J157" i="31"/>
  <c r="H157" i="31"/>
  <c r="G157" i="31"/>
  <c r="D157" i="31"/>
  <c r="B157" i="31"/>
  <c r="AF153" i="31"/>
  <c r="AD153" i="31"/>
  <c r="AC153" i="31"/>
  <c r="AA153" i="31"/>
  <c r="Z153" i="31"/>
  <c r="X153" i="31"/>
  <c r="W153" i="31"/>
  <c r="U153" i="31"/>
  <c r="T153" i="31"/>
  <c r="R153" i="31"/>
  <c r="Q153" i="31"/>
  <c r="O153" i="31"/>
  <c r="N153" i="31"/>
  <c r="L153" i="31"/>
  <c r="J153" i="31"/>
  <c r="H153" i="31"/>
  <c r="G153" i="31"/>
  <c r="E153" i="31"/>
  <c r="D153" i="31"/>
  <c r="B153" i="31"/>
  <c r="AF152" i="31"/>
  <c r="AD152" i="31"/>
  <c r="AC152" i="31"/>
  <c r="AA152" i="31"/>
  <c r="Z152" i="31"/>
  <c r="X152" i="31"/>
  <c r="W152" i="31"/>
  <c r="U152" i="31"/>
  <c r="T152" i="31"/>
  <c r="R152" i="31"/>
  <c r="O152" i="31"/>
  <c r="N152" i="31"/>
  <c r="L152" i="31"/>
  <c r="H152" i="31"/>
  <c r="E152" i="31"/>
  <c r="D152" i="31"/>
  <c r="B152" i="31"/>
  <c r="AF151" i="31"/>
  <c r="AD151" i="31"/>
  <c r="AC151" i="31"/>
  <c r="AA151" i="31"/>
  <c r="Z151" i="31"/>
  <c r="X151" i="31"/>
  <c r="W151" i="31"/>
  <c r="U151" i="31"/>
  <c r="T151" i="31"/>
  <c r="R151" i="31"/>
  <c r="Q151" i="31"/>
  <c r="L151" i="31"/>
  <c r="J151" i="31"/>
  <c r="H151" i="31"/>
  <c r="G151" i="31"/>
  <c r="E151" i="31"/>
  <c r="B151" i="31"/>
  <c r="AF150" i="31"/>
  <c r="AD150" i="31"/>
  <c r="AC150" i="31"/>
  <c r="AA150" i="31"/>
  <c r="Z150" i="31"/>
  <c r="X150" i="31"/>
  <c r="W150" i="31"/>
  <c r="U150" i="31"/>
  <c r="R150" i="31"/>
  <c r="Q150" i="31"/>
  <c r="O150" i="31"/>
  <c r="N150" i="31"/>
  <c r="L150" i="31"/>
  <c r="J150" i="31"/>
  <c r="G150" i="31"/>
  <c r="E150" i="31"/>
  <c r="D150" i="31"/>
  <c r="AF149" i="31"/>
  <c r="AE156" i="31" s="1"/>
  <c r="AD149" i="31"/>
  <c r="AC149" i="31"/>
  <c r="AA149" i="31"/>
  <c r="Z149" i="31"/>
  <c r="Y156" i="31" s="1"/>
  <c r="X149" i="31"/>
  <c r="W149" i="31"/>
  <c r="U149" i="31"/>
  <c r="V156" i="31" s="1"/>
  <c r="T149" i="31"/>
  <c r="Q149" i="31"/>
  <c r="O149" i="31"/>
  <c r="N149" i="31"/>
  <c r="J149" i="31"/>
  <c r="H149" i="31"/>
  <c r="G149" i="31"/>
  <c r="D149" i="31"/>
  <c r="B149" i="31"/>
  <c r="AF147" i="31"/>
  <c r="AD147" i="31"/>
  <c r="AC147" i="31"/>
  <c r="AA147" i="31"/>
  <c r="Z147" i="31"/>
  <c r="X147" i="31"/>
  <c r="W147" i="31"/>
  <c r="U147" i="31"/>
  <c r="T147" i="31"/>
  <c r="R147" i="31"/>
  <c r="Q147" i="31"/>
  <c r="O147" i="31"/>
  <c r="N147" i="31"/>
  <c r="L147" i="31"/>
  <c r="J147" i="31"/>
  <c r="H147" i="31"/>
  <c r="G147" i="31"/>
  <c r="E147" i="31"/>
  <c r="D147" i="31"/>
  <c r="B147" i="31"/>
  <c r="AF146" i="31"/>
  <c r="AD146" i="31"/>
  <c r="AC146" i="31"/>
  <c r="AA146" i="31"/>
  <c r="Z146" i="31"/>
  <c r="X146" i="31"/>
  <c r="W146" i="31"/>
  <c r="U146" i="31"/>
  <c r="T146" i="31"/>
  <c r="R146" i="31"/>
  <c r="O146" i="31"/>
  <c r="N146" i="31"/>
  <c r="L146" i="31"/>
  <c r="H146" i="31"/>
  <c r="E146" i="31"/>
  <c r="D146" i="31"/>
  <c r="B146" i="31"/>
  <c r="AF145" i="31"/>
  <c r="AD145" i="31"/>
  <c r="AC145" i="31"/>
  <c r="AA145" i="31"/>
  <c r="Z145" i="31"/>
  <c r="X145" i="31"/>
  <c r="W145" i="31"/>
  <c r="U145" i="31"/>
  <c r="T145" i="31"/>
  <c r="R145" i="31"/>
  <c r="Q145" i="31"/>
  <c r="L145" i="31"/>
  <c r="J145" i="31"/>
  <c r="H145" i="31"/>
  <c r="G145" i="31"/>
  <c r="E145" i="31"/>
  <c r="B145" i="31"/>
  <c r="AF144" i="31"/>
  <c r="AD144" i="31"/>
  <c r="AC144" i="31"/>
  <c r="AA144" i="31"/>
  <c r="Z144" i="31"/>
  <c r="X144" i="31"/>
  <c r="W144" i="31"/>
  <c r="U144" i="31"/>
  <c r="R144" i="31"/>
  <c r="Q144" i="31"/>
  <c r="O144" i="31"/>
  <c r="N144" i="31"/>
  <c r="L144" i="31"/>
  <c r="J144" i="31"/>
  <c r="G144" i="31"/>
  <c r="E144" i="31"/>
  <c r="D144" i="31"/>
  <c r="AF143" i="31"/>
  <c r="AD143" i="31"/>
  <c r="AC143" i="31"/>
  <c r="AA143" i="31"/>
  <c r="Z143" i="31"/>
  <c r="X143" i="31"/>
  <c r="W143" i="31"/>
  <c r="U143" i="31"/>
  <c r="T143" i="31"/>
  <c r="Q143" i="31"/>
  <c r="O143" i="31"/>
  <c r="N143" i="31"/>
  <c r="J143" i="31"/>
  <c r="H143" i="31"/>
  <c r="G143" i="31"/>
  <c r="D143" i="31"/>
  <c r="B143" i="31"/>
  <c r="AF141" i="31"/>
  <c r="AD141" i="31"/>
  <c r="AC141" i="31"/>
  <c r="AA141" i="31"/>
  <c r="Z141" i="31"/>
  <c r="X141" i="31"/>
  <c r="W141" i="31"/>
  <c r="U141" i="31"/>
  <c r="T141" i="31"/>
  <c r="R141" i="31"/>
  <c r="Q141" i="31"/>
  <c r="O141" i="31"/>
  <c r="N141" i="31"/>
  <c r="L141" i="31"/>
  <c r="J141" i="31"/>
  <c r="H141" i="31"/>
  <c r="G141" i="31"/>
  <c r="E141" i="31"/>
  <c r="D141" i="31"/>
  <c r="B141" i="31"/>
  <c r="AF140" i="31"/>
  <c r="AD140" i="31"/>
  <c r="AC140" i="31"/>
  <c r="AA140" i="31"/>
  <c r="Z140" i="31"/>
  <c r="X140" i="31"/>
  <c r="W140" i="31"/>
  <c r="U140" i="31"/>
  <c r="T140" i="31"/>
  <c r="R140" i="31"/>
  <c r="O140" i="31"/>
  <c r="N140" i="31"/>
  <c r="L140" i="31"/>
  <c r="H140" i="31"/>
  <c r="E140" i="31"/>
  <c r="D140" i="31"/>
  <c r="B140" i="31"/>
  <c r="AF139" i="31"/>
  <c r="AD139" i="31"/>
  <c r="AC139" i="31"/>
  <c r="AA139" i="31"/>
  <c r="Z139" i="31"/>
  <c r="X139" i="31"/>
  <c r="W139" i="31"/>
  <c r="U139" i="31"/>
  <c r="T139" i="31"/>
  <c r="R139" i="31"/>
  <c r="Q139" i="31"/>
  <c r="L139" i="31"/>
  <c r="J139" i="31"/>
  <c r="H139" i="31"/>
  <c r="G139" i="31"/>
  <c r="E139" i="31"/>
  <c r="B139" i="31"/>
  <c r="AF138" i="31"/>
  <c r="AD138" i="31"/>
  <c r="AC138" i="31"/>
  <c r="AA138" i="31"/>
  <c r="Z138" i="31"/>
  <c r="X138" i="31"/>
  <c r="W138" i="31"/>
  <c r="U138" i="31"/>
  <c r="R138" i="31"/>
  <c r="Q138" i="31"/>
  <c r="O138" i="31"/>
  <c r="N138" i="31"/>
  <c r="L138" i="31"/>
  <c r="J138" i="31"/>
  <c r="G138" i="31"/>
  <c r="E138" i="31"/>
  <c r="D138" i="31"/>
  <c r="AF137" i="31"/>
  <c r="AD137" i="31"/>
  <c r="AC137" i="31"/>
  <c r="AA137" i="31"/>
  <c r="Z137" i="31"/>
  <c r="X137" i="31"/>
  <c r="W137" i="31"/>
  <c r="U137" i="31"/>
  <c r="T137" i="31"/>
  <c r="Q137" i="31"/>
  <c r="O137" i="31"/>
  <c r="N137" i="31"/>
  <c r="J137" i="31"/>
  <c r="H137" i="31"/>
  <c r="G137" i="31"/>
  <c r="D137" i="31"/>
  <c r="B137" i="31"/>
  <c r="AF135" i="31"/>
  <c r="AD135" i="31"/>
  <c r="AC135" i="31"/>
  <c r="AA135" i="31"/>
  <c r="Z135" i="31"/>
  <c r="X135" i="31"/>
  <c r="W135" i="31"/>
  <c r="U135" i="31"/>
  <c r="T135" i="31"/>
  <c r="R135" i="31"/>
  <c r="Q135" i="31"/>
  <c r="O135" i="31"/>
  <c r="N135" i="31"/>
  <c r="L135" i="31"/>
  <c r="J135" i="31"/>
  <c r="H135" i="31"/>
  <c r="G135" i="31"/>
  <c r="E135" i="31"/>
  <c r="D135" i="31"/>
  <c r="B135" i="31"/>
  <c r="AF134" i="31"/>
  <c r="AD134" i="31"/>
  <c r="AC134" i="31"/>
  <c r="AA134" i="31"/>
  <c r="Z134" i="31"/>
  <c r="X134" i="31"/>
  <c r="W134" i="31"/>
  <c r="U134" i="31"/>
  <c r="T134" i="31"/>
  <c r="R134" i="31"/>
  <c r="O134" i="31"/>
  <c r="N134" i="31"/>
  <c r="L134" i="31"/>
  <c r="H134" i="31"/>
  <c r="E134" i="31"/>
  <c r="D134" i="31"/>
  <c r="B134" i="31"/>
  <c r="AF133" i="31"/>
  <c r="AD133" i="31"/>
  <c r="AC133" i="31"/>
  <c r="AA133" i="31"/>
  <c r="Z133" i="31"/>
  <c r="X133" i="31"/>
  <c r="W133" i="31"/>
  <c r="U133" i="31"/>
  <c r="T133" i="31"/>
  <c r="R133" i="31"/>
  <c r="Q133" i="31"/>
  <c r="L133" i="31"/>
  <c r="J133" i="31"/>
  <c r="H133" i="31"/>
  <c r="G133" i="31"/>
  <c r="E133" i="31"/>
  <c r="B133" i="31"/>
  <c r="AF132" i="31"/>
  <c r="AD132" i="31"/>
  <c r="AC132" i="31"/>
  <c r="AA132" i="31"/>
  <c r="Z132" i="31"/>
  <c r="X132" i="31"/>
  <c r="W132" i="31"/>
  <c r="U132" i="31"/>
  <c r="R132" i="31"/>
  <c r="Q132" i="31"/>
  <c r="O132" i="31"/>
  <c r="N132" i="31"/>
  <c r="L132" i="31"/>
  <c r="J132" i="31"/>
  <c r="G132" i="31"/>
  <c r="E132" i="31"/>
  <c r="D132" i="31"/>
  <c r="AF131" i="31"/>
  <c r="AD131" i="31"/>
  <c r="AC131" i="31"/>
  <c r="AA131" i="31"/>
  <c r="Z131" i="31"/>
  <c r="X131" i="31"/>
  <c r="W131" i="31"/>
  <c r="U131" i="31"/>
  <c r="T131" i="31"/>
  <c r="Q131" i="31"/>
  <c r="O131" i="31"/>
  <c r="N131" i="31"/>
  <c r="J131" i="31"/>
  <c r="H131" i="31"/>
  <c r="G131" i="31"/>
  <c r="D131" i="31"/>
  <c r="B131" i="31"/>
  <c r="AA128" i="31"/>
  <c r="O128" i="31"/>
  <c r="H128" i="31"/>
  <c r="B128" i="31"/>
  <c r="U127" i="31"/>
  <c r="O127" i="31"/>
  <c r="AA126" i="31"/>
  <c r="U126" i="31"/>
  <c r="B126" i="31"/>
  <c r="AA125" i="31"/>
  <c r="AF120" i="31"/>
  <c r="AF128" i="31" s="1"/>
  <c r="AD120" i="31"/>
  <c r="AD128" i="31" s="1"/>
  <c r="AC120" i="31"/>
  <c r="AC128" i="31" s="1"/>
  <c r="AA120" i="31"/>
  <c r="Z120" i="31"/>
  <c r="Z128" i="31" s="1"/>
  <c r="X120" i="31"/>
  <c r="X128" i="31" s="1"/>
  <c r="W120" i="31"/>
  <c r="W128" i="31" s="1"/>
  <c r="U120" i="31"/>
  <c r="U128" i="31" s="1"/>
  <c r="T120" i="31"/>
  <c r="T128" i="31" s="1"/>
  <c r="R120" i="31"/>
  <c r="R128" i="31" s="1"/>
  <c r="Q120" i="31"/>
  <c r="Q128" i="31" s="1"/>
  <c r="O120" i="31"/>
  <c r="N120" i="31"/>
  <c r="N128" i="31" s="1"/>
  <c r="L120" i="31"/>
  <c r="L128" i="31" s="1"/>
  <c r="J120" i="31"/>
  <c r="J128" i="31" s="1"/>
  <c r="H120" i="31"/>
  <c r="G120" i="31"/>
  <c r="G128" i="31" s="1"/>
  <c r="E120" i="31"/>
  <c r="E128" i="31" s="1"/>
  <c r="D120" i="31"/>
  <c r="D128" i="31" s="1"/>
  <c r="B120" i="31"/>
  <c r="AF119" i="31"/>
  <c r="AF127" i="31" s="1"/>
  <c r="AD119" i="31"/>
  <c r="AD127" i="31" s="1"/>
  <c r="AC119" i="31"/>
  <c r="AC127" i="31" s="1"/>
  <c r="AA119" i="31"/>
  <c r="AA127" i="31" s="1"/>
  <c r="Z119" i="31"/>
  <c r="Z127" i="31" s="1"/>
  <c r="X119" i="31"/>
  <c r="X127" i="31" s="1"/>
  <c r="W119" i="31"/>
  <c r="W127" i="31" s="1"/>
  <c r="U119" i="31"/>
  <c r="T119" i="31"/>
  <c r="T127" i="31" s="1"/>
  <c r="R119" i="31"/>
  <c r="R127" i="31" s="1"/>
  <c r="Q119" i="31"/>
  <c r="Q127" i="31" s="1"/>
  <c r="O119" i="31"/>
  <c r="N119" i="31"/>
  <c r="N127" i="31" s="1"/>
  <c r="L119" i="31"/>
  <c r="L127" i="31" s="1"/>
  <c r="J119" i="31"/>
  <c r="J127" i="31" s="1"/>
  <c r="H119" i="31"/>
  <c r="H127" i="31" s="1"/>
  <c r="G119" i="31"/>
  <c r="G127" i="31" s="1"/>
  <c r="E119" i="31"/>
  <c r="E127" i="31" s="1"/>
  <c r="D119" i="31"/>
  <c r="D127" i="31" s="1"/>
  <c r="B119" i="31"/>
  <c r="B127" i="31" s="1"/>
  <c r="AF118" i="31"/>
  <c r="AF126" i="31" s="1"/>
  <c r="AD118" i="31"/>
  <c r="AD126" i="31" s="1"/>
  <c r="AC118" i="31"/>
  <c r="AC126" i="31" s="1"/>
  <c r="AA118" i="31"/>
  <c r="Z118" i="31"/>
  <c r="Z126" i="31" s="1"/>
  <c r="X118" i="31"/>
  <c r="X126" i="31" s="1"/>
  <c r="W118" i="31"/>
  <c r="W126" i="31" s="1"/>
  <c r="U118" i="31"/>
  <c r="T118" i="31"/>
  <c r="T126" i="31" s="1"/>
  <c r="R118" i="31"/>
  <c r="R126" i="31" s="1"/>
  <c r="Q118" i="31"/>
  <c r="Q126" i="31" s="1"/>
  <c r="O118" i="31"/>
  <c r="O126" i="31" s="1"/>
  <c r="N118" i="31"/>
  <c r="N126" i="31" s="1"/>
  <c r="L118" i="31"/>
  <c r="L126" i="31" s="1"/>
  <c r="J118" i="31"/>
  <c r="J126" i="31" s="1"/>
  <c r="H118" i="31"/>
  <c r="H126" i="31" s="1"/>
  <c r="G118" i="31"/>
  <c r="G126" i="31" s="1"/>
  <c r="E118" i="31"/>
  <c r="E126" i="31" s="1"/>
  <c r="D118" i="31"/>
  <c r="D126" i="31" s="1"/>
  <c r="B118" i="31"/>
  <c r="AF117" i="31"/>
  <c r="AF125" i="31" s="1"/>
  <c r="AD117" i="31"/>
  <c r="AD125" i="31" s="1"/>
  <c r="AC117" i="31"/>
  <c r="AC125" i="31" s="1"/>
  <c r="AA117" i="31"/>
  <c r="Z117" i="31"/>
  <c r="Z125" i="31" s="1"/>
  <c r="X117" i="31"/>
  <c r="X125" i="31" s="1"/>
  <c r="W117" i="31"/>
  <c r="W125" i="31" s="1"/>
  <c r="U117" i="31"/>
  <c r="U125" i="31" s="1"/>
  <c r="T117" i="31"/>
  <c r="T125" i="31" s="1"/>
  <c r="R117" i="31"/>
  <c r="R125" i="31" s="1"/>
  <c r="Q117" i="31"/>
  <c r="Q125" i="31" s="1"/>
  <c r="O117" i="31"/>
  <c r="O125" i="31" s="1"/>
  <c r="N117" i="31"/>
  <c r="N125" i="31" s="1"/>
  <c r="L117" i="31"/>
  <c r="L125" i="31" s="1"/>
  <c r="J117" i="31"/>
  <c r="J125" i="31" s="1"/>
  <c r="H117" i="31"/>
  <c r="H125" i="31" s="1"/>
  <c r="G117" i="31"/>
  <c r="G125" i="31" s="1"/>
  <c r="E117" i="31"/>
  <c r="E125" i="31" s="1"/>
  <c r="D117" i="31"/>
  <c r="D125" i="31" s="1"/>
  <c r="B117" i="31"/>
  <c r="B125" i="31" s="1"/>
  <c r="AF116" i="31"/>
  <c r="AD116" i="31"/>
  <c r="AD121" i="31" s="1"/>
  <c r="AC116" i="31"/>
  <c r="AC124" i="31" s="1"/>
  <c r="AA116" i="31"/>
  <c r="AA124" i="31" s="1"/>
  <c r="Z116" i="31"/>
  <c r="X116" i="31"/>
  <c r="X124" i="31" s="1"/>
  <c r="W116" i="31"/>
  <c r="W124" i="31" s="1"/>
  <c r="U116" i="31"/>
  <c r="U124" i="31" s="1"/>
  <c r="T116" i="31"/>
  <c r="R116" i="31"/>
  <c r="R149" i="31" s="1"/>
  <c r="Q116" i="31"/>
  <c r="O116" i="31"/>
  <c r="O124" i="31" s="1"/>
  <c r="N116" i="31"/>
  <c r="L116" i="31"/>
  <c r="L124" i="31" s="1"/>
  <c r="J116" i="31"/>
  <c r="J152" i="31" s="1"/>
  <c r="H116" i="31"/>
  <c r="H150" i="31" s="1"/>
  <c r="G116" i="31"/>
  <c r="E116" i="31"/>
  <c r="E149" i="31" s="1"/>
  <c r="D116" i="31"/>
  <c r="D124" i="31" s="1"/>
  <c r="B116" i="31"/>
  <c r="B124" i="31" s="1"/>
  <c r="AF115" i="31"/>
  <c r="AD115" i="31"/>
  <c r="AC115" i="31"/>
  <c r="AA115" i="31"/>
  <c r="Z115" i="31"/>
  <c r="X115" i="31"/>
  <c r="W115" i="31"/>
  <c r="U115" i="31"/>
  <c r="T115" i="31"/>
  <c r="R115" i="31"/>
  <c r="Q115" i="31"/>
  <c r="O115" i="31"/>
  <c r="N115" i="31"/>
  <c r="L115" i="31"/>
  <c r="AK109" i="31" s="1"/>
  <c r="J115" i="31"/>
  <c r="H115" i="31"/>
  <c r="G115" i="31"/>
  <c r="E115" i="31"/>
  <c r="D115" i="31"/>
  <c r="B115" i="31"/>
  <c r="AH111" i="31" s="1"/>
  <c r="AE114" i="31"/>
  <c r="AB114" i="31"/>
  <c r="Y114" i="31"/>
  <c r="V114" i="31"/>
  <c r="S114" i="31"/>
  <c r="P114" i="31"/>
  <c r="M114" i="31"/>
  <c r="I114" i="31"/>
  <c r="F114" i="31"/>
  <c r="A114" i="31"/>
  <c r="AQ113" i="31"/>
  <c r="AP113" i="31"/>
  <c r="AO113" i="31"/>
  <c r="AN113" i="31"/>
  <c r="AM113" i="31"/>
  <c r="AL113" i="31"/>
  <c r="AK113" i="31"/>
  <c r="AJ113" i="31"/>
  <c r="AI113" i="31"/>
  <c r="AH113" i="31"/>
  <c r="AG113" i="31"/>
  <c r="AE113" i="31"/>
  <c r="AB113" i="31"/>
  <c r="Y113" i="31"/>
  <c r="V113" i="31"/>
  <c r="S113" i="31"/>
  <c r="P113" i="31"/>
  <c r="M113" i="31"/>
  <c r="I113" i="31"/>
  <c r="F113" i="31"/>
  <c r="A113" i="31"/>
  <c r="AQ112" i="31"/>
  <c r="AP112" i="31"/>
  <c r="AO112" i="31"/>
  <c r="AN112" i="31"/>
  <c r="AM112" i="31"/>
  <c r="AK112" i="31"/>
  <c r="AJ112" i="31"/>
  <c r="AH112" i="31"/>
  <c r="AG112" i="31"/>
  <c r="AE112" i="31"/>
  <c r="AB112" i="31"/>
  <c r="Y112" i="31"/>
  <c r="V112" i="31"/>
  <c r="S112" i="31"/>
  <c r="P112" i="31"/>
  <c r="M112" i="31"/>
  <c r="I112" i="31"/>
  <c r="F112" i="31"/>
  <c r="A112" i="31"/>
  <c r="AQ111" i="31"/>
  <c r="AP111" i="31"/>
  <c r="AO111" i="31"/>
  <c r="AN111" i="31"/>
  <c r="AM111" i="31"/>
  <c r="AK111" i="31"/>
  <c r="AJ111" i="31"/>
  <c r="AI111" i="31"/>
  <c r="AG111" i="31"/>
  <c r="AE111" i="31"/>
  <c r="AB111" i="31"/>
  <c r="Y111" i="31"/>
  <c r="V111" i="31"/>
  <c r="S111" i="31"/>
  <c r="P111" i="31"/>
  <c r="M111" i="31"/>
  <c r="I111" i="31"/>
  <c r="F111" i="31"/>
  <c r="A111" i="31"/>
  <c r="AQ110" i="31"/>
  <c r="AP110" i="31"/>
  <c r="AO110" i="31"/>
  <c r="AN110" i="31"/>
  <c r="AL110" i="31"/>
  <c r="AK110" i="31"/>
  <c r="AJ110" i="31"/>
  <c r="AI110" i="31"/>
  <c r="AG110" i="31"/>
  <c r="AE110" i="31"/>
  <c r="AB110" i="31"/>
  <c r="Y110" i="31"/>
  <c r="V110" i="31"/>
  <c r="S110" i="31"/>
  <c r="P110" i="31"/>
  <c r="M110" i="31"/>
  <c r="I110" i="31"/>
  <c r="F110" i="31"/>
  <c r="AQ109" i="31"/>
  <c r="AP109" i="31"/>
  <c r="AO109" i="31"/>
  <c r="AN109" i="31"/>
  <c r="AL109" i="31"/>
  <c r="AJ109" i="31"/>
  <c r="AI109" i="31"/>
  <c r="AH109" i="31"/>
  <c r="AG109" i="31"/>
  <c r="AE109" i="31"/>
  <c r="AB109" i="31"/>
  <c r="Y109" i="31"/>
  <c r="V109" i="31"/>
  <c r="S109" i="31"/>
  <c r="P109" i="31"/>
  <c r="M109" i="31"/>
  <c r="I109" i="31"/>
  <c r="F109" i="31"/>
  <c r="AD107" i="31"/>
  <c r="AA107" i="31"/>
  <c r="X107" i="31"/>
  <c r="U107" i="31"/>
  <c r="R107" i="31"/>
  <c r="O107" i="31"/>
  <c r="L107" i="31"/>
  <c r="H107" i="31"/>
  <c r="E107" i="31"/>
  <c r="E102" i="31"/>
  <c r="E101" i="31"/>
  <c r="B168" i="31" s="1"/>
  <c r="A101" i="31"/>
  <c r="E100" i="31"/>
  <c r="E99" i="31"/>
  <c r="B167" i="31" s="1"/>
  <c r="A99" i="31"/>
  <c r="E98" i="31"/>
  <c r="E97" i="31"/>
  <c r="B166" i="31" s="1"/>
  <c r="A97" i="31"/>
  <c r="E96" i="31"/>
  <c r="E95" i="31"/>
  <c r="B165" i="31" s="1"/>
  <c r="A95" i="31"/>
  <c r="E94" i="31"/>
  <c r="E93" i="31"/>
  <c r="B164" i="31" s="1"/>
  <c r="A93" i="31"/>
  <c r="S92" i="31"/>
  <c r="M92" i="31"/>
  <c r="K91" i="31"/>
  <c r="A89" i="31"/>
  <c r="AF85" i="31"/>
  <c r="AD85" i="31"/>
  <c r="AC85" i="31"/>
  <c r="AA85" i="31"/>
  <c r="Z85" i="31"/>
  <c r="X85" i="31"/>
  <c r="W85" i="31"/>
  <c r="U85" i="31"/>
  <c r="AF76" i="31"/>
  <c r="AD76" i="31"/>
  <c r="AC76" i="31"/>
  <c r="AA76" i="31"/>
  <c r="Z76" i="31"/>
  <c r="X76" i="31"/>
  <c r="W76" i="31"/>
  <c r="U76" i="31"/>
  <c r="T76" i="31"/>
  <c r="R76" i="31"/>
  <c r="Q76" i="31"/>
  <c r="O76" i="31"/>
  <c r="N76" i="31"/>
  <c r="L76" i="31"/>
  <c r="J76" i="31"/>
  <c r="H76" i="31"/>
  <c r="G76" i="31"/>
  <c r="E76" i="31"/>
  <c r="D76" i="31"/>
  <c r="B76" i="31"/>
  <c r="AF75" i="31"/>
  <c r="AD75" i="31"/>
  <c r="AC75" i="31"/>
  <c r="AA75" i="31"/>
  <c r="Z75" i="31"/>
  <c r="X75" i="31"/>
  <c r="W75" i="31"/>
  <c r="U75" i="31"/>
  <c r="T75" i="31"/>
  <c r="R75" i="31"/>
  <c r="O75" i="31"/>
  <c r="N75" i="31"/>
  <c r="L75" i="31"/>
  <c r="H75" i="31"/>
  <c r="E75" i="31"/>
  <c r="D75" i="31"/>
  <c r="B75" i="31"/>
  <c r="AF74" i="31"/>
  <c r="AD74" i="31"/>
  <c r="AC74" i="31"/>
  <c r="AA74" i="31"/>
  <c r="Z74" i="31"/>
  <c r="X74" i="31"/>
  <c r="W74" i="31"/>
  <c r="U74" i="31"/>
  <c r="T74" i="31"/>
  <c r="R74" i="31"/>
  <c r="Q74" i="31"/>
  <c r="L74" i="31"/>
  <c r="J74" i="31"/>
  <c r="H74" i="31"/>
  <c r="G74" i="31"/>
  <c r="E74" i="31"/>
  <c r="B74" i="31"/>
  <c r="AF73" i="31"/>
  <c r="AD73" i="31"/>
  <c r="AC73" i="31"/>
  <c r="AA73" i="31"/>
  <c r="Z73" i="31"/>
  <c r="X73" i="31"/>
  <c r="W73" i="31"/>
  <c r="U73" i="31"/>
  <c r="R73" i="31"/>
  <c r="Q73" i="31"/>
  <c r="O73" i="31"/>
  <c r="N73" i="31"/>
  <c r="L73" i="31"/>
  <c r="J73" i="31"/>
  <c r="G73" i="31"/>
  <c r="E73" i="31"/>
  <c r="D73" i="31"/>
  <c r="AF72" i="31"/>
  <c r="AD72" i="31"/>
  <c r="AC72" i="31"/>
  <c r="AA72" i="31"/>
  <c r="Z72" i="31"/>
  <c r="X72" i="31"/>
  <c r="W72" i="31"/>
  <c r="U72" i="31"/>
  <c r="T72" i="31"/>
  <c r="Q72" i="31"/>
  <c r="O72" i="31"/>
  <c r="N72" i="31"/>
  <c r="J72" i="31"/>
  <c r="H72" i="31"/>
  <c r="G72" i="31"/>
  <c r="D72" i="31"/>
  <c r="B72" i="31"/>
  <c r="AF68" i="31"/>
  <c r="AD68" i="31"/>
  <c r="AC68" i="31"/>
  <c r="AA68" i="31"/>
  <c r="Z68" i="31"/>
  <c r="X68" i="31"/>
  <c r="W68" i="31"/>
  <c r="U68" i="31"/>
  <c r="T68" i="31"/>
  <c r="R68" i="31"/>
  <c r="Q68" i="31"/>
  <c r="O68" i="31"/>
  <c r="N68" i="31"/>
  <c r="L68" i="31"/>
  <c r="J68" i="31"/>
  <c r="H68" i="31"/>
  <c r="G68" i="31"/>
  <c r="E68" i="31"/>
  <c r="D68" i="31"/>
  <c r="B68" i="31"/>
  <c r="AF67" i="31"/>
  <c r="AD67" i="31"/>
  <c r="AC67" i="31"/>
  <c r="AA67" i="31"/>
  <c r="Z67" i="31"/>
  <c r="X67" i="31"/>
  <c r="W67" i="31"/>
  <c r="U67" i="31"/>
  <c r="T67" i="31"/>
  <c r="R67" i="31"/>
  <c r="O67" i="31"/>
  <c r="N67" i="31"/>
  <c r="L67" i="31"/>
  <c r="H67" i="31"/>
  <c r="E67" i="31"/>
  <c r="D67" i="31"/>
  <c r="B67" i="31"/>
  <c r="AF66" i="31"/>
  <c r="AD66" i="31"/>
  <c r="AC66" i="31"/>
  <c r="AA66" i="31"/>
  <c r="Z66" i="31"/>
  <c r="X66" i="31"/>
  <c r="W66" i="31"/>
  <c r="U66" i="31"/>
  <c r="T66" i="31"/>
  <c r="R66" i="31"/>
  <c r="Q66" i="31"/>
  <c r="L66" i="31"/>
  <c r="J66" i="31"/>
  <c r="H66" i="31"/>
  <c r="G66" i="31"/>
  <c r="E66" i="31"/>
  <c r="B66" i="31"/>
  <c r="AF65" i="31"/>
  <c r="AD65" i="31"/>
  <c r="AC65" i="31"/>
  <c r="AA65" i="31"/>
  <c r="Z65" i="31"/>
  <c r="X65" i="31"/>
  <c r="W65" i="31"/>
  <c r="U65" i="31"/>
  <c r="R65" i="31"/>
  <c r="Q65" i="31"/>
  <c r="O65" i="31"/>
  <c r="N65" i="31"/>
  <c r="L65" i="31"/>
  <c r="J65" i="31"/>
  <c r="G65" i="31"/>
  <c r="E65" i="31"/>
  <c r="D65" i="31"/>
  <c r="AF64" i="31"/>
  <c r="AD64" i="31"/>
  <c r="AC64" i="31"/>
  <c r="AA64" i="31"/>
  <c r="Z64" i="31"/>
  <c r="X64" i="31"/>
  <c r="W64" i="31"/>
  <c r="U64" i="31"/>
  <c r="T64" i="31"/>
  <c r="Q64" i="31"/>
  <c r="O64" i="31"/>
  <c r="N64" i="31"/>
  <c r="J64" i="31"/>
  <c r="H64" i="31"/>
  <c r="G64" i="31"/>
  <c r="D64" i="31"/>
  <c r="B64" i="31"/>
  <c r="AF62" i="31"/>
  <c r="AD62" i="31"/>
  <c r="AC62" i="31"/>
  <c r="AA62" i="31"/>
  <c r="Z62" i="31"/>
  <c r="X62" i="31"/>
  <c r="W62" i="31"/>
  <c r="U62" i="31"/>
  <c r="T62" i="31"/>
  <c r="R62" i="31"/>
  <c r="Q62" i="31"/>
  <c r="O62" i="31"/>
  <c r="N62" i="31"/>
  <c r="L62" i="31"/>
  <c r="J62" i="31"/>
  <c r="H62" i="31"/>
  <c r="G62" i="31"/>
  <c r="E62" i="31"/>
  <c r="D62" i="31"/>
  <c r="B62" i="31"/>
  <c r="AF61" i="31"/>
  <c r="AD61" i="31"/>
  <c r="AC61" i="31"/>
  <c r="AA61" i="31"/>
  <c r="Z61" i="31"/>
  <c r="X61" i="31"/>
  <c r="W61" i="31"/>
  <c r="U61" i="31"/>
  <c r="T61" i="31"/>
  <c r="R61" i="31"/>
  <c r="O61" i="31"/>
  <c r="N61" i="31"/>
  <c r="L61" i="31"/>
  <c r="H61" i="31"/>
  <c r="E61" i="31"/>
  <c r="D61" i="31"/>
  <c r="B61" i="31"/>
  <c r="AF60" i="31"/>
  <c r="AD60" i="31"/>
  <c r="AC60" i="31"/>
  <c r="AA60" i="31"/>
  <c r="Z60" i="31"/>
  <c r="X60" i="31"/>
  <c r="W60" i="31"/>
  <c r="U60" i="31"/>
  <c r="T60" i="31"/>
  <c r="R60" i="31"/>
  <c r="Q60" i="31"/>
  <c r="L60" i="31"/>
  <c r="J60" i="31"/>
  <c r="H60" i="31"/>
  <c r="G60" i="31"/>
  <c r="E60" i="31"/>
  <c r="B60" i="31"/>
  <c r="AF59" i="31"/>
  <c r="AD59" i="31"/>
  <c r="AC59" i="31"/>
  <c r="AA59" i="31"/>
  <c r="Z59" i="31"/>
  <c r="X59" i="31"/>
  <c r="W59" i="31"/>
  <c r="U59" i="31"/>
  <c r="R59" i="31"/>
  <c r="Q59" i="31"/>
  <c r="O59" i="31"/>
  <c r="N59" i="31"/>
  <c r="L59" i="31"/>
  <c r="J59" i="31"/>
  <c r="G59" i="31"/>
  <c r="E59" i="31"/>
  <c r="D59" i="31"/>
  <c r="AF58" i="31"/>
  <c r="AD58" i="31"/>
  <c r="AC58" i="31"/>
  <c r="AA58" i="31"/>
  <c r="Z58" i="31"/>
  <c r="X58" i="31"/>
  <c r="W58" i="31"/>
  <c r="U58" i="31"/>
  <c r="T58" i="31"/>
  <c r="Q58" i="31"/>
  <c r="O58" i="31"/>
  <c r="N58" i="31"/>
  <c r="J58" i="31"/>
  <c r="H58" i="31"/>
  <c r="G58" i="31"/>
  <c r="D58" i="31"/>
  <c r="B58" i="31"/>
  <c r="AF56" i="31"/>
  <c r="AD56" i="31"/>
  <c r="AC56" i="31"/>
  <c r="AA56" i="31"/>
  <c r="Z56" i="31"/>
  <c r="X56" i="31"/>
  <c r="W56" i="31"/>
  <c r="U56" i="31"/>
  <c r="T56" i="31"/>
  <c r="R56" i="31"/>
  <c r="Q56" i="31"/>
  <c r="O56" i="31"/>
  <c r="N56" i="31"/>
  <c r="L56" i="31"/>
  <c r="J56" i="31"/>
  <c r="H56" i="31"/>
  <c r="G56" i="31"/>
  <c r="E56" i="31"/>
  <c r="D56" i="31"/>
  <c r="B56" i="31"/>
  <c r="AF55" i="31"/>
  <c r="AD55" i="31"/>
  <c r="AC55" i="31"/>
  <c r="AA55" i="31"/>
  <c r="Z55" i="31"/>
  <c r="X55" i="31"/>
  <c r="W55" i="31"/>
  <c r="U55" i="31"/>
  <c r="T55" i="31"/>
  <c r="R55" i="31"/>
  <c r="O55" i="31"/>
  <c r="N55" i="31"/>
  <c r="L55" i="31"/>
  <c r="H55" i="31"/>
  <c r="E55" i="31"/>
  <c r="D55" i="31"/>
  <c r="B55" i="31"/>
  <c r="AF54" i="31"/>
  <c r="AD54" i="31"/>
  <c r="AC54" i="31"/>
  <c r="AA54" i="31"/>
  <c r="Z54" i="31"/>
  <c r="X54" i="31"/>
  <c r="W54" i="31"/>
  <c r="U54" i="31"/>
  <c r="T54" i="31"/>
  <c r="R54" i="31"/>
  <c r="Q54" i="31"/>
  <c r="L54" i="31"/>
  <c r="J54" i="31"/>
  <c r="H54" i="31"/>
  <c r="G54" i="31"/>
  <c r="E54" i="31"/>
  <c r="B54" i="31"/>
  <c r="AF53" i="31"/>
  <c r="AD53" i="31"/>
  <c r="AC53" i="31"/>
  <c r="AA53" i="31"/>
  <c r="Z53" i="31"/>
  <c r="X53" i="31"/>
  <c r="W53" i="31"/>
  <c r="U53" i="31"/>
  <c r="R53" i="31"/>
  <c r="Q53" i="31"/>
  <c r="O53" i="31"/>
  <c r="N53" i="31"/>
  <c r="L53" i="31"/>
  <c r="J53" i="31"/>
  <c r="G53" i="31"/>
  <c r="E53" i="31"/>
  <c r="D53" i="31"/>
  <c r="AF52" i="31"/>
  <c r="AD52" i="31"/>
  <c r="AC52" i="31"/>
  <c r="AA52" i="31"/>
  <c r="Z52" i="31"/>
  <c r="X52" i="31"/>
  <c r="W52" i="31"/>
  <c r="U52" i="31"/>
  <c r="T52" i="31"/>
  <c r="Q52" i="31"/>
  <c r="O52" i="31"/>
  <c r="N52" i="31"/>
  <c r="J52" i="31"/>
  <c r="H52" i="31"/>
  <c r="G52" i="31"/>
  <c r="D52" i="31"/>
  <c r="B52" i="31"/>
  <c r="AF50" i="31"/>
  <c r="AD50" i="31"/>
  <c r="AC50" i="31"/>
  <c r="AA50" i="31"/>
  <c r="Z50" i="31"/>
  <c r="X50" i="31"/>
  <c r="W50" i="31"/>
  <c r="U50" i="31"/>
  <c r="T50" i="31"/>
  <c r="R50" i="31"/>
  <c r="Q50" i="31"/>
  <c r="O50" i="31"/>
  <c r="N50" i="31"/>
  <c r="L50" i="31"/>
  <c r="J50" i="31"/>
  <c r="H50" i="31"/>
  <c r="G50" i="31"/>
  <c r="E50" i="31"/>
  <c r="D50" i="31"/>
  <c r="B50" i="31"/>
  <c r="AF49" i="31"/>
  <c r="AD49" i="31"/>
  <c r="AC49" i="31"/>
  <c r="AA49" i="31"/>
  <c r="Z49" i="31"/>
  <c r="X49" i="31"/>
  <c r="W49" i="31"/>
  <c r="U49" i="31"/>
  <c r="T49" i="31"/>
  <c r="R49" i="31"/>
  <c r="O49" i="31"/>
  <c r="N49" i="31"/>
  <c r="L49" i="31"/>
  <c r="H49" i="31"/>
  <c r="E49" i="31"/>
  <c r="D49" i="31"/>
  <c r="B49" i="31"/>
  <c r="AF48" i="31"/>
  <c r="AD48" i="31"/>
  <c r="AC48" i="31"/>
  <c r="AA48" i="31"/>
  <c r="Z48" i="31"/>
  <c r="X48" i="31"/>
  <c r="W48" i="31"/>
  <c r="U48" i="31"/>
  <c r="T48" i="31"/>
  <c r="R48" i="31"/>
  <c r="Q48" i="31"/>
  <c r="L48" i="31"/>
  <c r="J48" i="31"/>
  <c r="H48" i="31"/>
  <c r="G48" i="31"/>
  <c r="E48" i="31"/>
  <c r="B48" i="31"/>
  <c r="AF47" i="31"/>
  <c r="AD47" i="31"/>
  <c r="AC47" i="31"/>
  <c r="AA47" i="31"/>
  <c r="Z47" i="31"/>
  <c r="X47" i="31"/>
  <c r="W47" i="31"/>
  <c r="U47" i="31"/>
  <c r="R47" i="31"/>
  <c r="Q47" i="31"/>
  <c r="O47" i="31"/>
  <c r="N47" i="31"/>
  <c r="L47" i="31"/>
  <c r="J47" i="31"/>
  <c r="G47" i="31"/>
  <c r="E47" i="31"/>
  <c r="D47" i="31"/>
  <c r="AF46" i="31"/>
  <c r="AD46" i="31"/>
  <c r="AC46" i="31"/>
  <c r="AA46" i="31"/>
  <c r="Z46" i="31"/>
  <c r="X46" i="31"/>
  <c r="W46" i="31"/>
  <c r="U46" i="31"/>
  <c r="T46" i="31"/>
  <c r="Q46" i="31"/>
  <c r="O46" i="31"/>
  <c r="N46" i="31"/>
  <c r="J46" i="31"/>
  <c r="H46" i="31"/>
  <c r="G46" i="31"/>
  <c r="D46" i="31"/>
  <c r="B46" i="31"/>
  <c r="AF39" i="31"/>
  <c r="Z39" i="31"/>
  <c r="G39" i="31"/>
  <c r="AF35" i="31"/>
  <c r="AF43" i="31" s="1"/>
  <c r="AD35" i="31"/>
  <c r="AD43" i="31" s="1"/>
  <c r="AC35" i="31"/>
  <c r="AC43" i="31" s="1"/>
  <c r="AA35" i="31"/>
  <c r="AA43" i="31" s="1"/>
  <c r="Z35" i="31"/>
  <c r="Z43" i="31" s="1"/>
  <c r="X35" i="31"/>
  <c r="X43" i="31" s="1"/>
  <c r="W35" i="31"/>
  <c r="W43" i="31" s="1"/>
  <c r="U35" i="31"/>
  <c r="U43" i="31" s="1"/>
  <c r="T35" i="31"/>
  <c r="T43" i="31" s="1"/>
  <c r="R35" i="31"/>
  <c r="R43" i="31" s="1"/>
  <c r="Q35" i="31"/>
  <c r="Q43" i="31" s="1"/>
  <c r="O35" i="31"/>
  <c r="O43" i="31" s="1"/>
  <c r="N35" i="31"/>
  <c r="N43" i="31" s="1"/>
  <c r="L35" i="31"/>
  <c r="L43" i="31" s="1"/>
  <c r="J35" i="31"/>
  <c r="J43" i="31" s="1"/>
  <c r="H35" i="31"/>
  <c r="H43" i="31" s="1"/>
  <c r="G35" i="31"/>
  <c r="G43" i="31" s="1"/>
  <c r="E35" i="31"/>
  <c r="E43" i="31" s="1"/>
  <c r="D35" i="31"/>
  <c r="D43" i="31" s="1"/>
  <c r="B35" i="31"/>
  <c r="B43" i="31" s="1"/>
  <c r="AF34" i="31"/>
  <c r="AF42" i="31" s="1"/>
  <c r="AD34" i="31"/>
  <c r="AD42" i="31" s="1"/>
  <c r="AC34" i="31"/>
  <c r="AC42" i="31" s="1"/>
  <c r="AA34" i="31"/>
  <c r="AA42" i="31" s="1"/>
  <c r="Z34" i="31"/>
  <c r="Z42" i="31" s="1"/>
  <c r="X34" i="31"/>
  <c r="X42" i="31" s="1"/>
  <c r="W34" i="31"/>
  <c r="W42" i="31" s="1"/>
  <c r="U34" i="31"/>
  <c r="U42" i="31" s="1"/>
  <c r="T34" i="31"/>
  <c r="T42" i="31" s="1"/>
  <c r="R34" i="31"/>
  <c r="R42" i="31" s="1"/>
  <c r="Q34" i="31"/>
  <c r="Q42" i="31" s="1"/>
  <c r="O34" i="31"/>
  <c r="O42" i="31" s="1"/>
  <c r="N34" i="31"/>
  <c r="N42" i="31" s="1"/>
  <c r="L34" i="31"/>
  <c r="L42" i="31" s="1"/>
  <c r="J34" i="31"/>
  <c r="J42" i="31" s="1"/>
  <c r="H34" i="31"/>
  <c r="H42" i="31" s="1"/>
  <c r="G34" i="31"/>
  <c r="G42" i="31" s="1"/>
  <c r="E34" i="31"/>
  <c r="E42" i="31" s="1"/>
  <c r="D34" i="31"/>
  <c r="D42" i="31" s="1"/>
  <c r="B34" i="31"/>
  <c r="B42" i="31" s="1"/>
  <c r="AF33" i="31"/>
  <c r="AF41" i="31" s="1"/>
  <c r="AD33" i="31"/>
  <c r="AD41" i="31" s="1"/>
  <c r="AC33" i="31"/>
  <c r="AC41" i="31" s="1"/>
  <c r="AA33" i="31"/>
  <c r="AA41" i="31" s="1"/>
  <c r="Z33" i="31"/>
  <c r="Z41" i="31" s="1"/>
  <c r="X33" i="31"/>
  <c r="X41" i="31" s="1"/>
  <c r="W33" i="31"/>
  <c r="W41" i="31" s="1"/>
  <c r="U33" i="31"/>
  <c r="U41" i="31" s="1"/>
  <c r="T33" i="31"/>
  <c r="T41" i="31" s="1"/>
  <c r="R33" i="31"/>
  <c r="R41" i="31" s="1"/>
  <c r="Q33" i="31"/>
  <c r="Q41" i="31" s="1"/>
  <c r="O33" i="31"/>
  <c r="O41" i="31" s="1"/>
  <c r="N33" i="31"/>
  <c r="N41" i="31" s="1"/>
  <c r="L33" i="31"/>
  <c r="L41" i="31" s="1"/>
  <c r="J33" i="31"/>
  <c r="J41" i="31" s="1"/>
  <c r="H33" i="31"/>
  <c r="H41" i="31" s="1"/>
  <c r="G33" i="31"/>
  <c r="G41" i="31" s="1"/>
  <c r="E33" i="31"/>
  <c r="E41" i="31" s="1"/>
  <c r="D33" i="31"/>
  <c r="D41" i="31" s="1"/>
  <c r="B33" i="31"/>
  <c r="B41" i="31" s="1"/>
  <c r="AF32" i="31"/>
  <c r="AF40" i="31" s="1"/>
  <c r="AD32" i="31"/>
  <c r="AD40" i="31" s="1"/>
  <c r="AC32" i="31"/>
  <c r="AC40" i="31" s="1"/>
  <c r="AA32" i="31"/>
  <c r="AA40" i="31" s="1"/>
  <c r="Z32" i="31"/>
  <c r="Z40" i="31" s="1"/>
  <c r="X32" i="31"/>
  <c r="X40" i="31" s="1"/>
  <c r="W32" i="31"/>
  <c r="W40" i="31" s="1"/>
  <c r="U32" i="31"/>
  <c r="U40" i="31" s="1"/>
  <c r="T32" i="31"/>
  <c r="T40" i="31" s="1"/>
  <c r="R32" i="31"/>
  <c r="R40" i="31" s="1"/>
  <c r="Q32" i="31"/>
  <c r="Q40" i="31" s="1"/>
  <c r="O32" i="31"/>
  <c r="O40" i="31" s="1"/>
  <c r="N32" i="31"/>
  <c r="N40" i="31" s="1"/>
  <c r="L32" i="31"/>
  <c r="L40" i="31" s="1"/>
  <c r="J32" i="31"/>
  <c r="J40" i="31" s="1"/>
  <c r="H32" i="31"/>
  <c r="H40" i="31" s="1"/>
  <c r="G32" i="31"/>
  <c r="G40" i="31" s="1"/>
  <c r="E32" i="31"/>
  <c r="E40" i="31" s="1"/>
  <c r="D32" i="31"/>
  <c r="D40" i="31" s="1"/>
  <c r="B32" i="31"/>
  <c r="B40" i="31" s="1"/>
  <c r="AF31" i="31"/>
  <c r="AD31" i="31"/>
  <c r="AD36" i="31" s="1"/>
  <c r="AC31" i="31"/>
  <c r="AC36" i="31" s="1"/>
  <c r="AA31" i="31"/>
  <c r="AA39" i="31" s="1"/>
  <c r="Z31" i="31"/>
  <c r="Z36" i="31" s="1"/>
  <c r="X31" i="31"/>
  <c r="X39" i="31" s="1"/>
  <c r="W31" i="31"/>
  <c r="W39" i="31" s="1"/>
  <c r="U31" i="31"/>
  <c r="U39" i="31" s="1"/>
  <c r="T31" i="31"/>
  <c r="T39" i="31" s="1"/>
  <c r="R31" i="31"/>
  <c r="R64" i="31" s="1"/>
  <c r="Q31" i="31"/>
  <c r="O31" i="31"/>
  <c r="O39" i="31" s="1"/>
  <c r="N31" i="31"/>
  <c r="L31" i="31"/>
  <c r="L39" i="31" s="1"/>
  <c r="J31" i="31"/>
  <c r="H31" i="31"/>
  <c r="H65" i="31" s="1"/>
  <c r="G31" i="31"/>
  <c r="E31" i="31"/>
  <c r="E64" i="31" s="1"/>
  <c r="D31" i="31"/>
  <c r="B31" i="31"/>
  <c r="B39" i="31" s="1"/>
  <c r="AF30" i="31"/>
  <c r="AD30" i="31"/>
  <c r="AC30" i="31"/>
  <c r="AA30" i="31"/>
  <c r="Z30" i="31"/>
  <c r="X30" i="31"/>
  <c r="W30" i="31"/>
  <c r="U30" i="31"/>
  <c r="T30" i="31"/>
  <c r="R30" i="31"/>
  <c r="AM24" i="31" s="1"/>
  <c r="Q30" i="31"/>
  <c r="O30" i="31"/>
  <c r="N30" i="31"/>
  <c r="L30" i="31"/>
  <c r="J30" i="31"/>
  <c r="H30" i="31"/>
  <c r="AJ25" i="31" s="1"/>
  <c r="G30" i="31"/>
  <c r="AI27" i="31" s="1"/>
  <c r="E30" i="31"/>
  <c r="D30" i="31"/>
  <c r="B30" i="31"/>
  <c r="AH25" i="31" s="1"/>
  <c r="AE29" i="31"/>
  <c r="AB29" i="31"/>
  <c r="Y29" i="31"/>
  <c r="V29" i="31"/>
  <c r="S29" i="31"/>
  <c r="P29" i="31"/>
  <c r="M29" i="31"/>
  <c r="I29" i="31"/>
  <c r="F29" i="31"/>
  <c r="A29" i="31"/>
  <c r="AQ28" i="31"/>
  <c r="AP28" i="31"/>
  <c r="AO28" i="31"/>
  <c r="AN28" i="31"/>
  <c r="AM28" i="31"/>
  <c r="AL28" i="31"/>
  <c r="AK28" i="31"/>
  <c r="AJ28" i="31"/>
  <c r="AI28" i="31"/>
  <c r="AH28" i="31"/>
  <c r="AG28" i="31"/>
  <c r="AE28" i="31"/>
  <c r="AB28" i="31"/>
  <c r="Y28" i="31"/>
  <c r="V28" i="31"/>
  <c r="S28" i="31"/>
  <c r="P28" i="31"/>
  <c r="M28" i="31"/>
  <c r="I28" i="31"/>
  <c r="F28" i="31"/>
  <c r="A28" i="31"/>
  <c r="AQ27" i="31"/>
  <c r="AP27" i="31"/>
  <c r="AO27" i="31"/>
  <c r="AN27" i="31"/>
  <c r="AM27" i="31"/>
  <c r="AK27" i="31"/>
  <c r="AH27" i="31"/>
  <c r="AG27" i="31"/>
  <c r="AE27" i="31"/>
  <c r="AB27" i="31"/>
  <c r="Y27" i="31"/>
  <c r="V27" i="31"/>
  <c r="S27" i="31"/>
  <c r="P27" i="31"/>
  <c r="M27" i="31"/>
  <c r="I27" i="31"/>
  <c r="F27" i="31"/>
  <c r="A27" i="31"/>
  <c r="AQ26" i="31"/>
  <c r="AP26" i="31"/>
  <c r="AO26" i="31"/>
  <c r="AN26" i="31"/>
  <c r="AM26" i="31"/>
  <c r="AJ26" i="31"/>
  <c r="AI26" i="31"/>
  <c r="AG26" i="31"/>
  <c r="AE26" i="31"/>
  <c r="AB26" i="31"/>
  <c r="Y26" i="31"/>
  <c r="V26" i="31"/>
  <c r="S26" i="31"/>
  <c r="P26" i="31"/>
  <c r="M26" i="31"/>
  <c r="I26" i="31"/>
  <c r="F26" i="31"/>
  <c r="A26" i="31"/>
  <c r="AQ25" i="31"/>
  <c r="AP25" i="31"/>
  <c r="AO25" i="31"/>
  <c r="AN25" i="31"/>
  <c r="AL25" i="31"/>
  <c r="AK25" i="31"/>
  <c r="AI25" i="31"/>
  <c r="AG25" i="31"/>
  <c r="AE25" i="31"/>
  <c r="AB25" i="31"/>
  <c r="Y25" i="31"/>
  <c r="V25" i="31"/>
  <c r="S25" i="31"/>
  <c r="P25" i="31"/>
  <c r="M25" i="31"/>
  <c r="I25" i="31"/>
  <c r="F25" i="31"/>
  <c r="AQ24" i="31"/>
  <c r="AP24" i="31"/>
  <c r="AO24" i="31"/>
  <c r="AN24" i="31"/>
  <c r="AL24" i="31"/>
  <c r="AJ24" i="31"/>
  <c r="AH24" i="31"/>
  <c r="AG24" i="31"/>
  <c r="AE24" i="31"/>
  <c r="AB24" i="31"/>
  <c r="Y24" i="31"/>
  <c r="V24" i="31"/>
  <c r="S24" i="31"/>
  <c r="P24" i="31"/>
  <c r="M24" i="31"/>
  <c r="I24" i="31"/>
  <c r="F24" i="31"/>
  <c r="AD22" i="31"/>
  <c r="AA22" i="31"/>
  <c r="X22" i="31"/>
  <c r="U22" i="31"/>
  <c r="R22" i="31"/>
  <c r="O22" i="31"/>
  <c r="L22" i="31"/>
  <c r="H22" i="31"/>
  <c r="E22" i="31"/>
  <c r="E17" i="31"/>
  <c r="E16" i="31"/>
  <c r="B83" i="31" s="1"/>
  <c r="A16" i="31"/>
  <c r="E15" i="31"/>
  <c r="E14" i="31"/>
  <c r="B82" i="31" s="1"/>
  <c r="A14" i="31"/>
  <c r="E13" i="31"/>
  <c r="E12" i="31"/>
  <c r="B81" i="31" s="1"/>
  <c r="A12" i="31"/>
  <c r="E11" i="31"/>
  <c r="E10" i="31"/>
  <c r="B80" i="31" s="1"/>
  <c r="A10" i="31"/>
  <c r="E9" i="31"/>
  <c r="E8" i="31"/>
  <c r="B79" i="31" s="1"/>
  <c r="A8" i="31"/>
  <c r="S7" i="31"/>
  <c r="M7" i="31"/>
  <c r="K6" i="31"/>
  <c r="AU372" i="30"/>
  <c r="AT372" i="30"/>
  <c r="AU371" i="30"/>
  <c r="AT371" i="30"/>
  <c r="AU370" i="30"/>
  <c r="AT370" i="30"/>
  <c r="D370" i="30"/>
  <c r="AU369" i="30"/>
  <c r="AT369" i="30"/>
  <c r="B369" i="30"/>
  <c r="AT368" i="30" s="1"/>
  <c r="J360" i="30"/>
  <c r="H360" i="30"/>
  <c r="G360" i="30"/>
  <c r="E360" i="30"/>
  <c r="D360" i="30"/>
  <c r="B360" i="30"/>
  <c r="J359" i="30"/>
  <c r="J361" i="30" s="1"/>
  <c r="H359" i="30"/>
  <c r="G359" i="30"/>
  <c r="E359" i="30"/>
  <c r="E361" i="30" s="1"/>
  <c r="D359" i="30"/>
  <c r="B359" i="30"/>
  <c r="J358" i="30"/>
  <c r="H358" i="30"/>
  <c r="H361" i="30" s="1"/>
  <c r="G358" i="30"/>
  <c r="G361" i="30" s="1"/>
  <c r="E358" i="30"/>
  <c r="D358" i="30"/>
  <c r="D361" i="30" s="1"/>
  <c r="B358" i="30"/>
  <c r="B361" i="30" s="1"/>
  <c r="A334" i="30"/>
  <c r="AF312" i="30"/>
  <c r="AD312" i="30"/>
  <c r="AC312" i="30"/>
  <c r="AA312" i="30"/>
  <c r="Z312" i="30"/>
  <c r="X312" i="30"/>
  <c r="J312" i="30"/>
  <c r="H312" i="30"/>
  <c r="G312" i="30"/>
  <c r="E312" i="30"/>
  <c r="D312" i="30"/>
  <c r="B312" i="30"/>
  <c r="AF311" i="30"/>
  <c r="AD311" i="30"/>
  <c r="AC311" i="30"/>
  <c r="AA311" i="30"/>
  <c r="Z311" i="30"/>
  <c r="X311" i="30"/>
  <c r="J311" i="30"/>
  <c r="H311" i="30"/>
  <c r="G311" i="30"/>
  <c r="E311" i="30"/>
  <c r="D311" i="30"/>
  <c r="B311" i="30"/>
  <c r="AF310" i="30"/>
  <c r="AF313" i="30" s="1"/>
  <c r="AD310" i="30"/>
  <c r="AD313" i="30" s="1"/>
  <c r="AC310" i="30"/>
  <c r="AC313" i="30" s="1"/>
  <c r="AA310" i="30"/>
  <c r="AA313" i="30" s="1"/>
  <c r="Z310" i="30"/>
  <c r="Z313" i="30" s="1"/>
  <c r="X310" i="30"/>
  <c r="X313" i="30" s="1"/>
  <c r="J310" i="30"/>
  <c r="J313" i="30" s="1"/>
  <c r="H310" i="30"/>
  <c r="H313" i="30" s="1"/>
  <c r="G310" i="30"/>
  <c r="G313" i="30" s="1"/>
  <c r="E310" i="30"/>
  <c r="E313" i="30" s="1"/>
  <c r="D310" i="30"/>
  <c r="D313" i="30" s="1"/>
  <c r="B310" i="30"/>
  <c r="B313" i="30" s="1"/>
  <c r="AF266" i="30"/>
  <c r="AC266" i="30"/>
  <c r="X266" i="30"/>
  <c r="U266" i="30"/>
  <c r="R266" i="30"/>
  <c r="M266" i="30"/>
  <c r="J266" i="30"/>
  <c r="F266" i="30"/>
  <c r="K303" i="30" s="1"/>
  <c r="B266" i="30"/>
  <c r="B303" i="30" s="1"/>
  <c r="AN265" i="30"/>
  <c r="AK265" i="30"/>
  <c r="K351" i="30" s="1"/>
  <c r="AH265" i="30"/>
  <c r="B351" i="30" s="1"/>
  <c r="AF265" i="30"/>
  <c r="AC265" i="30"/>
  <c r="X265" i="30"/>
  <c r="U265" i="30"/>
  <c r="R265" i="30"/>
  <c r="M265" i="30"/>
  <c r="J265" i="30"/>
  <c r="F265" i="30"/>
  <c r="K302" i="30" s="1"/>
  <c r="B265" i="30"/>
  <c r="B302" i="30" s="1"/>
  <c r="AN264" i="30"/>
  <c r="AK264" i="30"/>
  <c r="K350" i="30" s="1"/>
  <c r="AH264" i="30"/>
  <c r="B350" i="30" s="1"/>
  <c r="AF264" i="30"/>
  <c r="AC264" i="30"/>
  <c r="X264" i="30"/>
  <c r="U264" i="30"/>
  <c r="R264" i="30"/>
  <c r="M264" i="30"/>
  <c r="J264" i="30"/>
  <c r="F264" i="30"/>
  <c r="K301" i="30" s="1"/>
  <c r="B264" i="30"/>
  <c r="B301" i="30" s="1"/>
  <c r="A259" i="30"/>
  <c r="AF246" i="30"/>
  <c r="AD246" i="30"/>
  <c r="AC246" i="30"/>
  <c r="AA246" i="30"/>
  <c r="X246" i="30"/>
  <c r="W246" i="30"/>
  <c r="U246" i="30"/>
  <c r="T246" i="30"/>
  <c r="R246" i="30"/>
  <c r="Q246" i="30"/>
  <c r="O246" i="30"/>
  <c r="N246" i="30"/>
  <c r="L246" i="30"/>
  <c r="J246" i="30"/>
  <c r="H246" i="30"/>
  <c r="G246" i="30"/>
  <c r="E246" i="30"/>
  <c r="D246" i="30"/>
  <c r="B246" i="30"/>
  <c r="AF245" i="30"/>
  <c r="AD245" i="30"/>
  <c r="AA245" i="30"/>
  <c r="Z245" i="30"/>
  <c r="X245" i="30"/>
  <c r="W245" i="30"/>
  <c r="U245" i="30"/>
  <c r="T245" i="30"/>
  <c r="R245" i="30"/>
  <c r="Q245" i="30"/>
  <c r="O245" i="30"/>
  <c r="N245" i="30"/>
  <c r="L245" i="30"/>
  <c r="J245" i="30"/>
  <c r="H245" i="30"/>
  <c r="G245" i="30"/>
  <c r="E245" i="30"/>
  <c r="D245" i="30"/>
  <c r="B245" i="30"/>
  <c r="AF244" i="30"/>
  <c r="AD244" i="30"/>
  <c r="AC244" i="30"/>
  <c r="Z244" i="30"/>
  <c r="X244" i="30"/>
  <c r="U244" i="30"/>
  <c r="R244" i="30"/>
  <c r="O244" i="30"/>
  <c r="N244" i="30"/>
  <c r="L244" i="30"/>
  <c r="H244" i="30"/>
  <c r="E244" i="30"/>
  <c r="D244" i="30"/>
  <c r="B244" i="30"/>
  <c r="AD243" i="30"/>
  <c r="AC243" i="30"/>
  <c r="AA243" i="30"/>
  <c r="Z243" i="30"/>
  <c r="X243" i="30"/>
  <c r="W243" i="30"/>
  <c r="T243" i="30"/>
  <c r="R243" i="30"/>
  <c r="Q243" i="30"/>
  <c r="L243" i="30"/>
  <c r="J243" i="30"/>
  <c r="H243" i="30"/>
  <c r="G243" i="30"/>
  <c r="B243" i="30"/>
  <c r="AF242" i="30"/>
  <c r="AC242" i="30"/>
  <c r="AA242" i="30"/>
  <c r="Z242" i="30"/>
  <c r="W242" i="30"/>
  <c r="U242" i="30"/>
  <c r="T242" i="30"/>
  <c r="Q242" i="30"/>
  <c r="O242" i="30"/>
  <c r="N242" i="30"/>
  <c r="J242" i="30"/>
  <c r="G242" i="30"/>
  <c r="E242" i="30"/>
  <c r="D242" i="30"/>
  <c r="AF238" i="30"/>
  <c r="AD238" i="30"/>
  <c r="AC238" i="30"/>
  <c r="AA238" i="30"/>
  <c r="X238" i="30"/>
  <c r="W238" i="30"/>
  <c r="U238" i="30"/>
  <c r="T238" i="30"/>
  <c r="R238" i="30"/>
  <c r="Q238" i="30"/>
  <c r="O238" i="30"/>
  <c r="N238" i="30"/>
  <c r="L238" i="30"/>
  <c r="J238" i="30"/>
  <c r="H238" i="30"/>
  <c r="G238" i="30"/>
  <c r="E238" i="30"/>
  <c r="D238" i="30"/>
  <c r="B238" i="30"/>
  <c r="AF237" i="30"/>
  <c r="AD237" i="30"/>
  <c r="AA237" i="30"/>
  <c r="Z237" i="30"/>
  <c r="X237" i="30"/>
  <c r="W237" i="30"/>
  <c r="U237" i="30"/>
  <c r="T237" i="30"/>
  <c r="R237" i="30"/>
  <c r="Q237" i="30"/>
  <c r="O237" i="30"/>
  <c r="N237" i="30"/>
  <c r="L237" i="30"/>
  <c r="J237" i="30"/>
  <c r="H237" i="30"/>
  <c r="G237" i="30"/>
  <c r="E237" i="30"/>
  <c r="D237" i="30"/>
  <c r="B237" i="30"/>
  <c r="AF236" i="30"/>
  <c r="AD236" i="30"/>
  <c r="AC236" i="30"/>
  <c r="Z236" i="30"/>
  <c r="X236" i="30"/>
  <c r="U236" i="30"/>
  <c r="R236" i="30"/>
  <c r="O236" i="30"/>
  <c r="N236" i="30"/>
  <c r="L236" i="30"/>
  <c r="H236" i="30"/>
  <c r="E236" i="30"/>
  <c r="D236" i="30"/>
  <c r="B236" i="30"/>
  <c r="AD235" i="30"/>
  <c r="AC235" i="30"/>
  <c r="AA235" i="30"/>
  <c r="Z235" i="30"/>
  <c r="X235" i="30"/>
  <c r="W235" i="30"/>
  <c r="T235" i="30"/>
  <c r="R235" i="30"/>
  <c r="Q235" i="30"/>
  <c r="L235" i="30"/>
  <c r="J235" i="30"/>
  <c r="H235" i="30"/>
  <c r="G235" i="30"/>
  <c r="B235" i="30"/>
  <c r="AF234" i="30"/>
  <c r="AC234" i="30"/>
  <c r="AA234" i="30"/>
  <c r="Z234" i="30"/>
  <c r="W234" i="30"/>
  <c r="U234" i="30"/>
  <c r="T234" i="30"/>
  <c r="Q234" i="30"/>
  <c r="O234" i="30"/>
  <c r="N234" i="30"/>
  <c r="J234" i="30"/>
  <c r="G234" i="30"/>
  <c r="E234" i="30"/>
  <c r="D234" i="30"/>
  <c r="AF232" i="30"/>
  <c r="AD232" i="30"/>
  <c r="AC232" i="30"/>
  <c r="AA232" i="30"/>
  <c r="X232" i="30"/>
  <c r="W232" i="30"/>
  <c r="U232" i="30"/>
  <c r="T232" i="30"/>
  <c r="R232" i="30"/>
  <c r="Q232" i="30"/>
  <c r="O232" i="30"/>
  <c r="N232" i="30"/>
  <c r="L232" i="30"/>
  <c r="J232" i="30"/>
  <c r="H232" i="30"/>
  <c r="G232" i="30"/>
  <c r="E232" i="30"/>
  <c r="D232" i="30"/>
  <c r="B232" i="30"/>
  <c r="AF231" i="30"/>
  <c r="AD231" i="30"/>
  <c r="AA231" i="30"/>
  <c r="Z231" i="30"/>
  <c r="X231" i="30"/>
  <c r="W231" i="30"/>
  <c r="U231" i="30"/>
  <c r="T231" i="30"/>
  <c r="R231" i="30"/>
  <c r="Q231" i="30"/>
  <c r="O231" i="30"/>
  <c r="N231" i="30"/>
  <c r="L231" i="30"/>
  <c r="J231" i="30"/>
  <c r="H231" i="30"/>
  <c r="G231" i="30"/>
  <c r="E231" i="30"/>
  <c r="D231" i="30"/>
  <c r="B231" i="30"/>
  <c r="AF230" i="30"/>
  <c r="AD230" i="30"/>
  <c r="AC230" i="30"/>
  <c r="Z230" i="30"/>
  <c r="X230" i="30"/>
  <c r="U230" i="30"/>
  <c r="R230" i="30"/>
  <c r="O230" i="30"/>
  <c r="N230" i="30"/>
  <c r="L230" i="30"/>
  <c r="H230" i="30"/>
  <c r="E230" i="30"/>
  <c r="D230" i="30"/>
  <c r="B230" i="30"/>
  <c r="AD229" i="30"/>
  <c r="AC229" i="30"/>
  <c r="AA229" i="30"/>
  <c r="Z229" i="30"/>
  <c r="X229" i="30"/>
  <c r="W229" i="30"/>
  <c r="T229" i="30"/>
  <c r="R229" i="30"/>
  <c r="Q229" i="30"/>
  <c r="L229" i="30"/>
  <c r="J229" i="30"/>
  <c r="H229" i="30"/>
  <c r="G229" i="30"/>
  <c r="B229" i="30"/>
  <c r="AF228" i="30"/>
  <c r="AC228" i="30"/>
  <c r="AA228" i="30"/>
  <c r="Z228" i="30"/>
  <c r="W228" i="30"/>
  <c r="U228" i="30"/>
  <c r="T228" i="30"/>
  <c r="Q228" i="30"/>
  <c r="O228" i="30"/>
  <c r="N228" i="30"/>
  <c r="J228" i="30"/>
  <c r="G228" i="30"/>
  <c r="E228" i="30"/>
  <c r="D228" i="30"/>
  <c r="AF226" i="30"/>
  <c r="AD226" i="30"/>
  <c r="AC226" i="30"/>
  <c r="AA226" i="30"/>
  <c r="X226" i="30"/>
  <c r="W226" i="30"/>
  <c r="U226" i="30"/>
  <c r="T226" i="30"/>
  <c r="R226" i="30"/>
  <c r="Q226" i="30"/>
  <c r="O226" i="30"/>
  <c r="N226" i="30"/>
  <c r="L226" i="30"/>
  <c r="J226" i="30"/>
  <c r="H226" i="30"/>
  <c r="G226" i="30"/>
  <c r="E226" i="30"/>
  <c r="D226" i="30"/>
  <c r="B226" i="30"/>
  <c r="AF225" i="30"/>
  <c r="AD225" i="30"/>
  <c r="AA225" i="30"/>
  <c r="Z225" i="30"/>
  <c r="X225" i="30"/>
  <c r="W225" i="30"/>
  <c r="U225" i="30"/>
  <c r="T225" i="30"/>
  <c r="R225" i="30"/>
  <c r="Q225" i="30"/>
  <c r="O225" i="30"/>
  <c r="N225" i="30"/>
  <c r="L225" i="30"/>
  <c r="J225" i="30"/>
  <c r="H225" i="30"/>
  <c r="G225" i="30"/>
  <c r="E225" i="30"/>
  <c r="D225" i="30"/>
  <c r="B225" i="30"/>
  <c r="AF224" i="30"/>
  <c r="AD224" i="30"/>
  <c r="AC224" i="30"/>
  <c r="Z224" i="30"/>
  <c r="X224" i="30"/>
  <c r="U224" i="30"/>
  <c r="R224" i="30"/>
  <c r="O224" i="30"/>
  <c r="N224" i="30"/>
  <c r="L224" i="30"/>
  <c r="H224" i="30"/>
  <c r="E224" i="30"/>
  <c r="D224" i="30"/>
  <c r="B224" i="30"/>
  <c r="AD223" i="30"/>
  <c r="AC223" i="30"/>
  <c r="AA223" i="30"/>
  <c r="Z223" i="30"/>
  <c r="X223" i="30"/>
  <c r="W223" i="30"/>
  <c r="T223" i="30"/>
  <c r="R223" i="30"/>
  <c r="Q223" i="30"/>
  <c r="L223" i="30"/>
  <c r="J223" i="30"/>
  <c r="H223" i="30"/>
  <c r="G223" i="30"/>
  <c r="B223" i="30"/>
  <c r="AF222" i="30"/>
  <c r="AC222" i="30"/>
  <c r="AA222" i="30"/>
  <c r="Z222" i="30"/>
  <c r="W222" i="30"/>
  <c r="U222" i="30"/>
  <c r="T222" i="30"/>
  <c r="Q222" i="30"/>
  <c r="O222" i="30"/>
  <c r="N222" i="30"/>
  <c r="J222" i="30"/>
  <c r="G222" i="30"/>
  <c r="E222" i="30"/>
  <c r="D222" i="30"/>
  <c r="AF220" i="30"/>
  <c r="AD220" i="30"/>
  <c r="AC220" i="30"/>
  <c r="AA220" i="30"/>
  <c r="X220" i="30"/>
  <c r="W220" i="30"/>
  <c r="U220" i="30"/>
  <c r="T220" i="30"/>
  <c r="R220" i="30"/>
  <c r="Q220" i="30"/>
  <c r="O220" i="30"/>
  <c r="N220" i="30"/>
  <c r="L220" i="30"/>
  <c r="J220" i="30"/>
  <c r="H220" i="30"/>
  <c r="G220" i="30"/>
  <c r="E220" i="30"/>
  <c r="D220" i="30"/>
  <c r="B220" i="30"/>
  <c r="AF219" i="30"/>
  <c r="AD219" i="30"/>
  <c r="AA219" i="30"/>
  <c r="Z219" i="30"/>
  <c r="X219" i="30"/>
  <c r="W219" i="30"/>
  <c r="U219" i="30"/>
  <c r="T219" i="30"/>
  <c r="R219" i="30"/>
  <c r="Q219" i="30"/>
  <c r="O219" i="30"/>
  <c r="N219" i="30"/>
  <c r="L219" i="30"/>
  <c r="J219" i="30"/>
  <c r="H219" i="30"/>
  <c r="G219" i="30"/>
  <c r="E219" i="30"/>
  <c r="D219" i="30"/>
  <c r="B219" i="30"/>
  <c r="AF218" i="30"/>
  <c r="AD218" i="30"/>
  <c r="AC218" i="30"/>
  <c r="Z218" i="30"/>
  <c r="X218" i="30"/>
  <c r="U218" i="30"/>
  <c r="R218" i="30"/>
  <c r="O218" i="30"/>
  <c r="N218" i="30"/>
  <c r="L218" i="30"/>
  <c r="H218" i="30"/>
  <c r="E218" i="30"/>
  <c r="D218" i="30"/>
  <c r="B218" i="30"/>
  <c r="AD217" i="30"/>
  <c r="AC217" i="30"/>
  <c r="AA217" i="30"/>
  <c r="Z217" i="30"/>
  <c r="X217" i="30"/>
  <c r="W217" i="30"/>
  <c r="T217" i="30"/>
  <c r="R217" i="30"/>
  <c r="Q217" i="30"/>
  <c r="L217" i="30"/>
  <c r="J217" i="30"/>
  <c r="H217" i="30"/>
  <c r="G217" i="30"/>
  <c r="B217" i="30"/>
  <c r="AF216" i="30"/>
  <c r="AC216" i="30"/>
  <c r="AA216" i="30"/>
  <c r="Z216" i="30"/>
  <c r="W216" i="30"/>
  <c r="U216" i="30"/>
  <c r="T216" i="30"/>
  <c r="Q216" i="30"/>
  <c r="O216" i="30"/>
  <c r="N216" i="30"/>
  <c r="J216" i="30"/>
  <c r="G216" i="30"/>
  <c r="E216" i="30"/>
  <c r="D216" i="30"/>
  <c r="AF205" i="30"/>
  <c r="AF213" i="30" s="1"/>
  <c r="AD205" i="30"/>
  <c r="AD213" i="30" s="1"/>
  <c r="AC205" i="30"/>
  <c r="AC213" i="30" s="1"/>
  <c r="AA205" i="30"/>
  <c r="AA213" i="30" s="1"/>
  <c r="Z205" i="30"/>
  <c r="Z213" i="30" s="1"/>
  <c r="X205" i="30"/>
  <c r="X213" i="30" s="1"/>
  <c r="W205" i="30"/>
  <c r="W213" i="30" s="1"/>
  <c r="U205" i="30"/>
  <c r="U213" i="30" s="1"/>
  <c r="T205" i="30"/>
  <c r="T213" i="30" s="1"/>
  <c r="R205" i="30"/>
  <c r="R213" i="30" s="1"/>
  <c r="Q205" i="30"/>
  <c r="Q213" i="30" s="1"/>
  <c r="O205" i="30"/>
  <c r="O213" i="30" s="1"/>
  <c r="N205" i="30"/>
  <c r="N213" i="30" s="1"/>
  <c r="L205" i="30"/>
  <c r="L213" i="30" s="1"/>
  <c r="J205" i="30"/>
  <c r="J213" i="30" s="1"/>
  <c r="H205" i="30"/>
  <c r="H213" i="30" s="1"/>
  <c r="G205" i="30"/>
  <c r="G213" i="30" s="1"/>
  <c r="E205" i="30"/>
  <c r="E213" i="30" s="1"/>
  <c r="D205" i="30"/>
  <c r="D213" i="30" s="1"/>
  <c r="B205" i="30"/>
  <c r="B213" i="30" s="1"/>
  <c r="AF204" i="30"/>
  <c r="AF212" i="30" s="1"/>
  <c r="AD204" i="30"/>
  <c r="AD212" i="30" s="1"/>
  <c r="AC204" i="30"/>
  <c r="AC212" i="30" s="1"/>
  <c r="AA204" i="30"/>
  <c r="AA212" i="30" s="1"/>
  <c r="Z204" i="30"/>
  <c r="Z212" i="30" s="1"/>
  <c r="X204" i="30"/>
  <c r="X212" i="30" s="1"/>
  <c r="W204" i="30"/>
  <c r="W212" i="30" s="1"/>
  <c r="U204" i="30"/>
  <c r="U212" i="30" s="1"/>
  <c r="T204" i="30"/>
  <c r="T212" i="30" s="1"/>
  <c r="R204" i="30"/>
  <c r="R212" i="30" s="1"/>
  <c r="Q204" i="30"/>
  <c r="Q212" i="30" s="1"/>
  <c r="O204" i="30"/>
  <c r="O212" i="30" s="1"/>
  <c r="N204" i="30"/>
  <c r="N212" i="30" s="1"/>
  <c r="L204" i="30"/>
  <c r="L212" i="30" s="1"/>
  <c r="J204" i="30"/>
  <c r="J212" i="30" s="1"/>
  <c r="H204" i="30"/>
  <c r="H212" i="30" s="1"/>
  <c r="G204" i="30"/>
  <c r="G212" i="30" s="1"/>
  <c r="E204" i="30"/>
  <c r="E212" i="30" s="1"/>
  <c r="D204" i="30"/>
  <c r="D212" i="30" s="1"/>
  <c r="B204" i="30"/>
  <c r="B212" i="30" s="1"/>
  <c r="AF203" i="30"/>
  <c r="AF211" i="30" s="1"/>
  <c r="AD203" i="30"/>
  <c r="AD211" i="30" s="1"/>
  <c r="AC203" i="30"/>
  <c r="AC211" i="30" s="1"/>
  <c r="AA203" i="30"/>
  <c r="AA211" i="30" s="1"/>
  <c r="Z203" i="30"/>
  <c r="Z211" i="30" s="1"/>
  <c r="X203" i="30"/>
  <c r="X211" i="30" s="1"/>
  <c r="W203" i="30"/>
  <c r="W211" i="30" s="1"/>
  <c r="U203" i="30"/>
  <c r="U211" i="30" s="1"/>
  <c r="T203" i="30"/>
  <c r="T211" i="30" s="1"/>
  <c r="R203" i="30"/>
  <c r="R211" i="30" s="1"/>
  <c r="Q203" i="30"/>
  <c r="Q211" i="30" s="1"/>
  <c r="O203" i="30"/>
  <c r="O211" i="30" s="1"/>
  <c r="N203" i="30"/>
  <c r="N211" i="30" s="1"/>
  <c r="L203" i="30"/>
  <c r="L211" i="30" s="1"/>
  <c r="J203" i="30"/>
  <c r="J211" i="30" s="1"/>
  <c r="H203" i="30"/>
  <c r="H211" i="30" s="1"/>
  <c r="G203" i="30"/>
  <c r="G211" i="30" s="1"/>
  <c r="E203" i="30"/>
  <c r="E211" i="30" s="1"/>
  <c r="D203" i="30"/>
  <c r="D211" i="30" s="1"/>
  <c r="B203" i="30"/>
  <c r="B211" i="30" s="1"/>
  <c r="AF202" i="30"/>
  <c r="AF210" i="30" s="1"/>
  <c r="AD202" i="30"/>
  <c r="AD210" i="30" s="1"/>
  <c r="AC202" i="30"/>
  <c r="AC210" i="30" s="1"/>
  <c r="AA202" i="30"/>
  <c r="AA210" i="30" s="1"/>
  <c r="Z202" i="30"/>
  <c r="Z210" i="30" s="1"/>
  <c r="X202" i="30"/>
  <c r="X210" i="30" s="1"/>
  <c r="W202" i="30"/>
  <c r="W210" i="30" s="1"/>
  <c r="U202" i="30"/>
  <c r="U210" i="30" s="1"/>
  <c r="T202" i="30"/>
  <c r="T210" i="30" s="1"/>
  <c r="R202" i="30"/>
  <c r="R210" i="30" s="1"/>
  <c r="Q202" i="30"/>
  <c r="Q210" i="30" s="1"/>
  <c r="O202" i="30"/>
  <c r="O210" i="30" s="1"/>
  <c r="N202" i="30"/>
  <c r="N210" i="30" s="1"/>
  <c r="L202" i="30"/>
  <c r="L210" i="30" s="1"/>
  <c r="J202" i="30"/>
  <c r="J210" i="30" s="1"/>
  <c r="H202" i="30"/>
  <c r="H210" i="30" s="1"/>
  <c r="G202" i="30"/>
  <c r="G210" i="30" s="1"/>
  <c r="E202" i="30"/>
  <c r="E210" i="30" s="1"/>
  <c r="D202" i="30"/>
  <c r="D210" i="30" s="1"/>
  <c r="B202" i="30"/>
  <c r="B210" i="30" s="1"/>
  <c r="AF201" i="30"/>
  <c r="AF235" i="30" s="1"/>
  <c r="AD201" i="30"/>
  <c r="AD234" i="30" s="1"/>
  <c r="AC201" i="30"/>
  <c r="AA201" i="30"/>
  <c r="AA206" i="30" s="1"/>
  <c r="Z201" i="30"/>
  <c r="Z238" i="30" s="1"/>
  <c r="X201" i="30"/>
  <c r="X234" i="30" s="1"/>
  <c r="W201" i="30"/>
  <c r="W209" i="30" s="1"/>
  <c r="U201" i="30"/>
  <c r="U235" i="30" s="1"/>
  <c r="T201" i="30"/>
  <c r="T236" i="30" s="1"/>
  <c r="R201" i="30"/>
  <c r="R234" i="30" s="1"/>
  <c r="S241" i="30" s="1"/>
  <c r="Q201" i="30"/>
  <c r="O201" i="30"/>
  <c r="O235" i="30" s="1"/>
  <c r="N201" i="30"/>
  <c r="N235" i="30" s="1"/>
  <c r="L201" i="30"/>
  <c r="L234" i="30" s="1"/>
  <c r="J201" i="30"/>
  <c r="J209" i="30" s="1"/>
  <c r="H201" i="30"/>
  <c r="H234" i="30" s="1"/>
  <c r="G201" i="30"/>
  <c r="G236" i="30" s="1"/>
  <c r="E201" i="30"/>
  <c r="E235" i="30" s="1"/>
  <c r="D201" i="30"/>
  <c r="B201" i="30"/>
  <c r="B234" i="30" s="1"/>
  <c r="AF200" i="30"/>
  <c r="AD200" i="30"/>
  <c r="AC200" i="30"/>
  <c r="AA200" i="30"/>
  <c r="Z200" i="30"/>
  <c r="X200" i="30"/>
  <c r="W200" i="30"/>
  <c r="U200" i="30"/>
  <c r="T200" i="30"/>
  <c r="R200" i="30"/>
  <c r="Q200" i="30"/>
  <c r="O200" i="30"/>
  <c r="N200" i="30"/>
  <c r="L200" i="30"/>
  <c r="AK195" i="30" s="1"/>
  <c r="J200" i="30"/>
  <c r="H200" i="30"/>
  <c r="AJ196" i="30" s="1"/>
  <c r="G200" i="30"/>
  <c r="AI195" i="30" s="1"/>
  <c r="E200" i="30"/>
  <c r="D200" i="30"/>
  <c r="B200" i="30"/>
  <c r="AE199" i="30"/>
  <c r="AB199" i="30"/>
  <c r="Y199" i="30"/>
  <c r="V199" i="30"/>
  <c r="S199" i="30"/>
  <c r="P199" i="30"/>
  <c r="M199" i="30"/>
  <c r="I199" i="30"/>
  <c r="F199" i="30"/>
  <c r="A199" i="30"/>
  <c r="AQ198" i="30"/>
  <c r="AP198" i="30"/>
  <c r="AO198" i="30"/>
  <c r="AN198" i="30"/>
  <c r="AM198" i="30"/>
  <c r="AL198" i="30"/>
  <c r="AK198" i="30"/>
  <c r="AJ198" i="30"/>
  <c r="AI198" i="30"/>
  <c r="AH198" i="30"/>
  <c r="AG198" i="30"/>
  <c r="AE198" i="30"/>
  <c r="AB198" i="30"/>
  <c r="Y198" i="30"/>
  <c r="V198" i="30"/>
  <c r="S198" i="30"/>
  <c r="P198" i="30"/>
  <c r="M198" i="30"/>
  <c r="I198" i="30"/>
  <c r="F198" i="30"/>
  <c r="A198" i="30"/>
  <c r="AQ197" i="30"/>
  <c r="AP197" i="30"/>
  <c r="AO197" i="30"/>
  <c r="AN197" i="30"/>
  <c r="AM197" i="30"/>
  <c r="AL197" i="30"/>
  <c r="AK197" i="30"/>
  <c r="AJ197" i="30"/>
  <c r="AI197" i="30"/>
  <c r="AH197" i="30"/>
  <c r="AG197" i="30"/>
  <c r="AE197" i="30"/>
  <c r="AB197" i="30"/>
  <c r="Y197" i="30"/>
  <c r="V197" i="30"/>
  <c r="S197" i="30"/>
  <c r="P197" i="30"/>
  <c r="M197" i="30"/>
  <c r="I197" i="30"/>
  <c r="F197" i="30"/>
  <c r="A197" i="30"/>
  <c r="AQ196" i="30"/>
  <c r="AP196" i="30"/>
  <c r="AO196" i="30"/>
  <c r="AN196" i="30"/>
  <c r="AK196" i="30"/>
  <c r="AH196" i="30"/>
  <c r="AG196" i="30"/>
  <c r="AE196" i="30"/>
  <c r="AB196" i="30"/>
  <c r="Y196" i="30"/>
  <c r="V196" i="30"/>
  <c r="S196" i="30"/>
  <c r="P196" i="30"/>
  <c r="M196" i="30"/>
  <c r="I196" i="30"/>
  <c r="F196" i="30"/>
  <c r="A196" i="30"/>
  <c r="AQ195" i="30"/>
  <c r="AP195" i="30"/>
  <c r="AO195" i="30"/>
  <c r="AN195" i="30"/>
  <c r="AM195" i="30"/>
  <c r="AL195" i="30"/>
  <c r="AJ195" i="30"/>
  <c r="AG195" i="30"/>
  <c r="AE195" i="30"/>
  <c r="AB195" i="30"/>
  <c r="Y195" i="30"/>
  <c r="V195" i="30"/>
  <c r="S195" i="30"/>
  <c r="P195" i="30"/>
  <c r="M195" i="30"/>
  <c r="I195" i="30"/>
  <c r="F195" i="30"/>
  <c r="AQ194" i="30"/>
  <c r="AP194" i="30"/>
  <c r="AO194" i="30"/>
  <c r="AN194" i="30"/>
  <c r="AL194" i="30"/>
  <c r="AK194" i="30"/>
  <c r="AI194" i="30"/>
  <c r="AG194" i="30"/>
  <c r="AE194" i="30"/>
  <c r="AB194" i="30"/>
  <c r="Y194" i="30"/>
  <c r="V194" i="30"/>
  <c r="S194" i="30"/>
  <c r="P194" i="30"/>
  <c r="M194" i="30"/>
  <c r="I194" i="30"/>
  <c r="F194" i="30"/>
  <c r="AD192" i="30"/>
  <c r="AA192" i="30"/>
  <c r="X192" i="30"/>
  <c r="U192" i="30"/>
  <c r="R192" i="30"/>
  <c r="O192" i="30"/>
  <c r="L192" i="30"/>
  <c r="H192" i="30"/>
  <c r="E192" i="30"/>
  <c r="E187" i="30"/>
  <c r="E186" i="30"/>
  <c r="B253" i="30" s="1"/>
  <c r="A186" i="30"/>
  <c r="E185" i="30"/>
  <c r="E184" i="30"/>
  <c r="B252" i="30" s="1"/>
  <c r="A184" i="30"/>
  <c r="E183" i="30"/>
  <c r="E182" i="30"/>
  <c r="B251" i="30" s="1"/>
  <c r="A182" i="30"/>
  <c r="E181" i="30"/>
  <c r="E180" i="30"/>
  <c r="B250" i="30" s="1"/>
  <c r="A180" i="30"/>
  <c r="E179" i="30"/>
  <c r="E178" i="30"/>
  <c r="B249" i="30" s="1"/>
  <c r="A178" i="30"/>
  <c r="S177" i="30"/>
  <c r="M177" i="30"/>
  <c r="K176" i="30"/>
  <c r="A174" i="30"/>
  <c r="AF170" i="30"/>
  <c r="AD170" i="30"/>
  <c r="AC170" i="30"/>
  <c r="AA170" i="30"/>
  <c r="Z170" i="30"/>
  <c r="X170" i="30"/>
  <c r="W170" i="30"/>
  <c r="U170" i="30"/>
  <c r="AF161" i="30"/>
  <c r="AD161" i="30"/>
  <c r="AC161" i="30"/>
  <c r="AA161" i="30"/>
  <c r="Z161" i="30"/>
  <c r="X161" i="30"/>
  <c r="W161" i="30"/>
  <c r="U161" i="30"/>
  <c r="T161" i="30"/>
  <c r="R161" i="30"/>
  <c r="Q161" i="30"/>
  <c r="O161" i="30"/>
  <c r="N161" i="30"/>
  <c r="L161" i="30"/>
  <c r="J161" i="30"/>
  <c r="H161" i="30"/>
  <c r="G161" i="30"/>
  <c r="E161" i="30"/>
  <c r="D161" i="30"/>
  <c r="B161" i="30"/>
  <c r="AF160" i="30"/>
  <c r="AD160" i="30"/>
  <c r="AC160" i="30"/>
  <c r="AA160" i="30"/>
  <c r="Z160" i="30"/>
  <c r="X160" i="30"/>
  <c r="W160" i="30"/>
  <c r="U160" i="30"/>
  <c r="T160" i="30"/>
  <c r="R160" i="30"/>
  <c r="O160" i="30"/>
  <c r="N160" i="30"/>
  <c r="L160" i="30"/>
  <c r="H160" i="30"/>
  <c r="E160" i="30"/>
  <c r="D160" i="30"/>
  <c r="B160" i="30"/>
  <c r="AF159" i="30"/>
  <c r="AD159" i="30"/>
  <c r="AC159" i="30"/>
  <c r="AA159" i="30"/>
  <c r="Z159" i="30"/>
  <c r="X159" i="30"/>
  <c r="W159" i="30"/>
  <c r="U159" i="30"/>
  <c r="T159" i="30"/>
  <c r="R159" i="30"/>
  <c r="Q159" i="30"/>
  <c r="L159" i="30"/>
  <c r="J159" i="30"/>
  <c r="H159" i="30"/>
  <c r="G159" i="30"/>
  <c r="E159" i="30"/>
  <c r="B159" i="30"/>
  <c r="AF158" i="30"/>
  <c r="AD158" i="30"/>
  <c r="AC158" i="30"/>
  <c r="AA158" i="30"/>
  <c r="Z158" i="30"/>
  <c r="X158" i="30"/>
  <c r="W158" i="30"/>
  <c r="U158" i="30"/>
  <c r="R158" i="30"/>
  <c r="Q158" i="30"/>
  <c r="O158" i="30"/>
  <c r="N158" i="30"/>
  <c r="L158" i="30"/>
  <c r="J158" i="30"/>
  <c r="G158" i="30"/>
  <c r="E158" i="30"/>
  <c r="D158" i="30"/>
  <c r="AF157" i="30"/>
  <c r="AD157" i="30"/>
  <c r="AC157" i="30"/>
  <c r="AA157" i="30"/>
  <c r="Z157" i="30"/>
  <c r="X157" i="30"/>
  <c r="W157" i="30"/>
  <c r="U157" i="30"/>
  <c r="T157" i="30"/>
  <c r="Q157" i="30"/>
  <c r="O157" i="30"/>
  <c r="N157" i="30"/>
  <c r="J157" i="30"/>
  <c r="H157" i="30"/>
  <c r="G157" i="30"/>
  <c r="D157" i="30"/>
  <c r="B157" i="30"/>
  <c r="AF153" i="30"/>
  <c r="AD153" i="30"/>
  <c r="AC153" i="30"/>
  <c r="AA153" i="30"/>
  <c r="Z153" i="30"/>
  <c r="X153" i="30"/>
  <c r="W153" i="30"/>
  <c r="U153" i="30"/>
  <c r="T153" i="30"/>
  <c r="R153" i="30"/>
  <c r="Q153" i="30"/>
  <c r="O153" i="30"/>
  <c r="N153" i="30"/>
  <c r="L153" i="30"/>
  <c r="J153" i="30"/>
  <c r="H153" i="30"/>
  <c r="G153" i="30"/>
  <c r="E153" i="30"/>
  <c r="D153" i="30"/>
  <c r="B153" i="30"/>
  <c r="AF152" i="30"/>
  <c r="AD152" i="30"/>
  <c r="AC152" i="30"/>
  <c r="AA152" i="30"/>
  <c r="Z152" i="30"/>
  <c r="X152" i="30"/>
  <c r="W152" i="30"/>
  <c r="U152" i="30"/>
  <c r="T152" i="30"/>
  <c r="R152" i="30"/>
  <c r="O152" i="30"/>
  <c r="N152" i="30"/>
  <c r="L152" i="30"/>
  <c r="H152" i="30"/>
  <c r="E152" i="30"/>
  <c r="D152" i="30"/>
  <c r="B152" i="30"/>
  <c r="AF151" i="30"/>
  <c r="AD151" i="30"/>
  <c r="AC151" i="30"/>
  <c r="AA151" i="30"/>
  <c r="Z151" i="30"/>
  <c r="X151" i="30"/>
  <c r="W151" i="30"/>
  <c r="U151" i="30"/>
  <c r="T151" i="30"/>
  <c r="R151" i="30"/>
  <c r="Q151" i="30"/>
  <c r="L151" i="30"/>
  <c r="J151" i="30"/>
  <c r="H151" i="30"/>
  <c r="G151" i="30"/>
  <c r="E151" i="30"/>
  <c r="B151" i="30"/>
  <c r="AF150" i="30"/>
  <c r="AD150" i="30"/>
  <c r="AC150" i="30"/>
  <c r="AA150" i="30"/>
  <c r="Z150" i="30"/>
  <c r="X150" i="30"/>
  <c r="W150" i="30"/>
  <c r="U150" i="30"/>
  <c r="R150" i="30"/>
  <c r="Q150" i="30"/>
  <c r="O150" i="30"/>
  <c r="N150" i="30"/>
  <c r="L150" i="30"/>
  <c r="J150" i="30"/>
  <c r="G150" i="30"/>
  <c r="E150" i="30"/>
  <c r="D150" i="30"/>
  <c r="AF149" i="30"/>
  <c r="AD149" i="30"/>
  <c r="AE156" i="30" s="1"/>
  <c r="AC149" i="30"/>
  <c r="AA149" i="30"/>
  <c r="AB156" i="30" s="1"/>
  <c r="Z149" i="30"/>
  <c r="X149" i="30"/>
  <c r="W149" i="30"/>
  <c r="U149" i="30"/>
  <c r="V156" i="30" s="1"/>
  <c r="T149" i="30"/>
  <c r="Q149" i="30"/>
  <c r="O149" i="30"/>
  <c r="N149" i="30"/>
  <c r="J149" i="30"/>
  <c r="H149" i="30"/>
  <c r="G149" i="30"/>
  <c r="D149" i="30"/>
  <c r="B149" i="30"/>
  <c r="AF147" i="30"/>
  <c r="AD147" i="30"/>
  <c r="AC147" i="30"/>
  <c r="AA147" i="30"/>
  <c r="Z147" i="30"/>
  <c r="X147" i="30"/>
  <c r="W147" i="30"/>
  <c r="U147" i="30"/>
  <c r="T147" i="30"/>
  <c r="R147" i="30"/>
  <c r="Q147" i="30"/>
  <c r="O147" i="30"/>
  <c r="N147" i="30"/>
  <c r="L147" i="30"/>
  <c r="J147" i="30"/>
  <c r="H147" i="30"/>
  <c r="G147" i="30"/>
  <c r="E147" i="30"/>
  <c r="D147" i="30"/>
  <c r="B147" i="30"/>
  <c r="AF146" i="30"/>
  <c r="AD146" i="30"/>
  <c r="AC146" i="30"/>
  <c r="AA146" i="30"/>
  <c r="Z146" i="30"/>
  <c r="X146" i="30"/>
  <c r="W146" i="30"/>
  <c r="U146" i="30"/>
  <c r="T146" i="30"/>
  <c r="R146" i="30"/>
  <c r="O146" i="30"/>
  <c r="N146" i="30"/>
  <c r="L146" i="30"/>
  <c r="H146" i="30"/>
  <c r="E146" i="30"/>
  <c r="D146" i="30"/>
  <c r="B146" i="30"/>
  <c r="AF145" i="30"/>
  <c r="AD145" i="30"/>
  <c r="AC145" i="30"/>
  <c r="AA145" i="30"/>
  <c r="Z145" i="30"/>
  <c r="X145" i="30"/>
  <c r="W145" i="30"/>
  <c r="U145" i="30"/>
  <c r="T145" i="30"/>
  <c r="R145" i="30"/>
  <c r="Q145" i="30"/>
  <c r="L145" i="30"/>
  <c r="J145" i="30"/>
  <c r="H145" i="30"/>
  <c r="G145" i="30"/>
  <c r="E145" i="30"/>
  <c r="B145" i="30"/>
  <c r="AF144" i="30"/>
  <c r="AD144" i="30"/>
  <c r="AC144" i="30"/>
  <c r="AA144" i="30"/>
  <c r="Z144" i="30"/>
  <c r="X144" i="30"/>
  <c r="W144" i="30"/>
  <c r="U144" i="30"/>
  <c r="R144" i="30"/>
  <c r="Q144" i="30"/>
  <c r="O144" i="30"/>
  <c r="N144" i="30"/>
  <c r="L144" i="30"/>
  <c r="J144" i="30"/>
  <c r="G144" i="30"/>
  <c r="E144" i="30"/>
  <c r="D144" i="30"/>
  <c r="AF143" i="30"/>
  <c r="AD143" i="30"/>
  <c r="AC143" i="30"/>
  <c r="AA143" i="30"/>
  <c r="Z143" i="30"/>
  <c r="X143" i="30"/>
  <c r="W143" i="30"/>
  <c r="U143" i="30"/>
  <c r="T143" i="30"/>
  <c r="Q143" i="30"/>
  <c r="O143" i="30"/>
  <c r="N143" i="30"/>
  <c r="J143" i="30"/>
  <c r="H143" i="30"/>
  <c r="G143" i="30"/>
  <c r="D143" i="30"/>
  <c r="B143" i="30"/>
  <c r="AF141" i="30"/>
  <c r="AD141" i="30"/>
  <c r="AC141" i="30"/>
  <c r="AA141" i="30"/>
  <c r="Z141" i="30"/>
  <c r="X141" i="30"/>
  <c r="W141" i="30"/>
  <c r="U141" i="30"/>
  <c r="T141" i="30"/>
  <c r="R141" i="30"/>
  <c r="Q141" i="30"/>
  <c r="O141" i="30"/>
  <c r="N141" i="30"/>
  <c r="L141" i="30"/>
  <c r="J141" i="30"/>
  <c r="H141" i="30"/>
  <c r="G141" i="30"/>
  <c r="E141" i="30"/>
  <c r="D141" i="30"/>
  <c r="B141" i="30"/>
  <c r="AF140" i="30"/>
  <c r="AD140" i="30"/>
  <c r="AC140" i="30"/>
  <c r="AA140" i="30"/>
  <c r="Z140" i="30"/>
  <c r="X140" i="30"/>
  <c r="W140" i="30"/>
  <c r="U140" i="30"/>
  <c r="T140" i="30"/>
  <c r="R140" i="30"/>
  <c r="O140" i="30"/>
  <c r="N140" i="30"/>
  <c r="L140" i="30"/>
  <c r="H140" i="30"/>
  <c r="E140" i="30"/>
  <c r="D140" i="30"/>
  <c r="B140" i="30"/>
  <c r="AF139" i="30"/>
  <c r="AD139" i="30"/>
  <c r="AC139" i="30"/>
  <c r="AA139" i="30"/>
  <c r="Z139" i="30"/>
  <c r="X139" i="30"/>
  <c r="W139" i="30"/>
  <c r="U139" i="30"/>
  <c r="T139" i="30"/>
  <c r="R139" i="30"/>
  <c r="Q139" i="30"/>
  <c r="L139" i="30"/>
  <c r="J139" i="30"/>
  <c r="H139" i="30"/>
  <c r="G139" i="30"/>
  <c r="E139" i="30"/>
  <c r="B139" i="30"/>
  <c r="AF138" i="30"/>
  <c r="AD138" i="30"/>
  <c r="AC138" i="30"/>
  <c r="AA138" i="30"/>
  <c r="Z138" i="30"/>
  <c r="X138" i="30"/>
  <c r="W138" i="30"/>
  <c r="U138" i="30"/>
  <c r="R138" i="30"/>
  <c r="Q138" i="30"/>
  <c r="O138" i="30"/>
  <c r="N138" i="30"/>
  <c r="L138" i="30"/>
  <c r="J138" i="30"/>
  <c r="G138" i="30"/>
  <c r="E138" i="30"/>
  <c r="D138" i="30"/>
  <c r="AF137" i="30"/>
  <c r="AD137" i="30"/>
  <c r="AC137" i="30"/>
  <c r="AA137" i="30"/>
  <c r="Z137" i="30"/>
  <c r="X137" i="30"/>
  <c r="W137" i="30"/>
  <c r="U137" i="30"/>
  <c r="T137" i="30"/>
  <c r="Q137" i="30"/>
  <c r="O137" i="30"/>
  <c r="N137" i="30"/>
  <c r="J137" i="30"/>
  <c r="H137" i="30"/>
  <c r="G137" i="30"/>
  <c r="D137" i="30"/>
  <c r="B137" i="30"/>
  <c r="AF135" i="30"/>
  <c r="AD135" i="30"/>
  <c r="AC135" i="30"/>
  <c r="AA135" i="30"/>
  <c r="Z135" i="30"/>
  <c r="X135" i="30"/>
  <c r="W135" i="30"/>
  <c r="U135" i="30"/>
  <c r="T135" i="30"/>
  <c r="R135" i="30"/>
  <c r="Q135" i="30"/>
  <c r="O135" i="30"/>
  <c r="N135" i="30"/>
  <c r="L135" i="30"/>
  <c r="J135" i="30"/>
  <c r="H135" i="30"/>
  <c r="G135" i="30"/>
  <c r="E135" i="30"/>
  <c r="D135" i="30"/>
  <c r="B135" i="30"/>
  <c r="AF134" i="30"/>
  <c r="AD134" i="30"/>
  <c r="AC134" i="30"/>
  <c r="AA134" i="30"/>
  <c r="Z134" i="30"/>
  <c r="X134" i="30"/>
  <c r="W134" i="30"/>
  <c r="U134" i="30"/>
  <c r="T134" i="30"/>
  <c r="R134" i="30"/>
  <c r="O134" i="30"/>
  <c r="N134" i="30"/>
  <c r="L134" i="30"/>
  <c r="H134" i="30"/>
  <c r="E134" i="30"/>
  <c r="D134" i="30"/>
  <c r="B134" i="30"/>
  <c r="AF133" i="30"/>
  <c r="AD133" i="30"/>
  <c r="AC133" i="30"/>
  <c r="AA133" i="30"/>
  <c r="Z133" i="30"/>
  <c r="X133" i="30"/>
  <c r="W133" i="30"/>
  <c r="U133" i="30"/>
  <c r="T133" i="30"/>
  <c r="R133" i="30"/>
  <c r="Q133" i="30"/>
  <c r="L133" i="30"/>
  <c r="J133" i="30"/>
  <c r="H133" i="30"/>
  <c r="G133" i="30"/>
  <c r="E133" i="30"/>
  <c r="B133" i="30"/>
  <c r="AF132" i="30"/>
  <c r="AD132" i="30"/>
  <c r="AC132" i="30"/>
  <c r="AA132" i="30"/>
  <c r="Z132" i="30"/>
  <c r="X132" i="30"/>
  <c r="W132" i="30"/>
  <c r="U132" i="30"/>
  <c r="R132" i="30"/>
  <c r="Q132" i="30"/>
  <c r="O132" i="30"/>
  <c r="N132" i="30"/>
  <c r="L132" i="30"/>
  <c r="J132" i="30"/>
  <c r="G132" i="30"/>
  <c r="E132" i="30"/>
  <c r="D132" i="30"/>
  <c r="AF131" i="30"/>
  <c r="AD131" i="30"/>
  <c r="AC131" i="30"/>
  <c r="AA131" i="30"/>
  <c r="Z131" i="30"/>
  <c r="X131" i="30"/>
  <c r="W131" i="30"/>
  <c r="U131" i="30"/>
  <c r="T131" i="30"/>
  <c r="Q131" i="30"/>
  <c r="O131" i="30"/>
  <c r="N131" i="30"/>
  <c r="J131" i="30"/>
  <c r="H131" i="30"/>
  <c r="G131" i="30"/>
  <c r="D131" i="30"/>
  <c r="B131" i="30"/>
  <c r="X128" i="30"/>
  <c r="AD127" i="30"/>
  <c r="E127" i="30"/>
  <c r="AF124" i="30"/>
  <c r="Z124" i="30"/>
  <c r="AF120" i="30"/>
  <c r="AF128" i="30" s="1"/>
  <c r="AD120" i="30"/>
  <c r="AD128" i="30" s="1"/>
  <c r="AC120" i="30"/>
  <c r="AC128" i="30" s="1"/>
  <c r="AA120" i="30"/>
  <c r="AA128" i="30" s="1"/>
  <c r="Z120" i="30"/>
  <c r="Z128" i="30" s="1"/>
  <c r="X120" i="30"/>
  <c r="W120" i="30"/>
  <c r="W128" i="30" s="1"/>
  <c r="U120" i="30"/>
  <c r="U128" i="30" s="1"/>
  <c r="T120" i="30"/>
  <c r="T128" i="30" s="1"/>
  <c r="R120" i="30"/>
  <c r="R128" i="30" s="1"/>
  <c r="Q120" i="30"/>
  <c r="Q128" i="30" s="1"/>
  <c r="O120" i="30"/>
  <c r="O128" i="30" s="1"/>
  <c r="N120" i="30"/>
  <c r="N128" i="30" s="1"/>
  <c r="L120" i="30"/>
  <c r="L128" i="30" s="1"/>
  <c r="J120" i="30"/>
  <c r="J128" i="30" s="1"/>
  <c r="H120" i="30"/>
  <c r="H128" i="30" s="1"/>
  <c r="G120" i="30"/>
  <c r="G128" i="30" s="1"/>
  <c r="E120" i="30"/>
  <c r="E128" i="30" s="1"/>
  <c r="D120" i="30"/>
  <c r="D128" i="30" s="1"/>
  <c r="B120" i="30"/>
  <c r="B128" i="30" s="1"/>
  <c r="AF119" i="30"/>
  <c r="AF127" i="30" s="1"/>
  <c r="AD119" i="30"/>
  <c r="AC119" i="30"/>
  <c r="AC127" i="30" s="1"/>
  <c r="AA119" i="30"/>
  <c r="AA127" i="30" s="1"/>
  <c r="Z119" i="30"/>
  <c r="Z127" i="30" s="1"/>
  <c r="X119" i="30"/>
  <c r="X127" i="30" s="1"/>
  <c r="W119" i="30"/>
  <c r="W127" i="30" s="1"/>
  <c r="U119" i="30"/>
  <c r="U127" i="30" s="1"/>
  <c r="T119" i="30"/>
  <c r="T127" i="30" s="1"/>
  <c r="R119" i="30"/>
  <c r="R127" i="30" s="1"/>
  <c r="Q119" i="30"/>
  <c r="Q127" i="30" s="1"/>
  <c r="O119" i="30"/>
  <c r="O127" i="30" s="1"/>
  <c r="N119" i="30"/>
  <c r="N127" i="30" s="1"/>
  <c r="L119" i="30"/>
  <c r="L127" i="30" s="1"/>
  <c r="J119" i="30"/>
  <c r="J127" i="30" s="1"/>
  <c r="H119" i="30"/>
  <c r="H127" i="30" s="1"/>
  <c r="G119" i="30"/>
  <c r="G127" i="30" s="1"/>
  <c r="E119" i="30"/>
  <c r="D119" i="30"/>
  <c r="D127" i="30" s="1"/>
  <c r="B119" i="30"/>
  <c r="B127" i="30" s="1"/>
  <c r="AF118" i="30"/>
  <c r="AF126" i="30" s="1"/>
  <c r="AD118" i="30"/>
  <c r="AD126" i="30" s="1"/>
  <c r="AC118" i="30"/>
  <c r="AC126" i="30" s="1"/>
  <c r="AA118" i="30"/>
  <c r="AA126" i="30" s="1"/>
  <c r="Z118" i="30"/>
  <c r="Z126" i="30" s="1"/>
  <c r="X118" i="30"/>
  <c r="X126" i="30" s="1"/>
  <c r="W118" i="30"/>
  <c r="W126" i="30" s="1"/>
  <c r="U118" i="30"/>
  <c r="U126" i="30" s="1"/>
  <c r="T118" i="30"/>
  <c r="T126" i="30" s="1"/>
  <c r="R118" i="30"/>
  <c r="R126" i="30" s="1"/>
  <c r="Q118" i="30"/>
  <c r="Q126" i="30" s="1"/>
  <c r="O118" i="30"/>
  <c r="O126" i="30" s="1"/>
  <c r="N118" i="30"/>
  <c r="N126" i="30" s="1"/>
  <c r="L118" i="30"/>
  <c r="L126" i="30" s="1"/>
  <c r="J118" i="30"/>
  <c r="J126" i="30" s="1"/>
  <c r="H118" i="30"/>
  <c r="H126" i="30" s="1"/>
  <c r="G118" i="30"/>
  <c r="G126" i="30" s="1"/>
  <c r="E118" i="30"/>
  <c r="E126" i="30" s="1"/>
  <c r="D118" i="30"/>
  <c r="D126" i="30" s="1"/>
  <c r="B118" i="30"/>
  <c r="B126" i="30" s="1"/>
  <c r="AF117" i="30"/>
  <c r="AF125" i="30" s="1"/>
  <c r="AD117" i="30"/>
  <c r="AD125" i="30" s="1"/>
  <c r="AC117" i="30"/>
  <c r="AC125" i="30" s="1"/>
  <c r="AA117" i="30"/>
  <c r="AA125" i="30" s="1"/>
  <c r="Z117" i="30"/>
  <c r="Z125" i="30" s="1"/>
  <c r="X117" i="30"/>
  <c r="X125" i="30" s="1"/>
  <c r="W117" i="30"/>
  <c r="W125" i="30" s="1"/>
  <c r="U117" i="30"/>
  <c r="U125" i="30" s="1"/>
  <c r="T117" i="30"/>
  <c r="T125" i="30" s="1"/>
  <c r="R117" i="30"/>
  <c r="R125" i="30" s="1"/>
  <c r="Q117" i="30"/>
  <c r="Q125" i="30" s="1"/>
  <c r="O117" i="30"/>
  <c r="O125" i="30" s="1"/>
  <c r="N117" i="30"/>
  <c r="N125" i="30" s="1"/>
  <c r="L117" i="30"/>
  <c r="L125" i="30" s="1"/>
  <c r="J117" i="30"/>
  <c r="J125" i="30" s="1"/>
  <c r="H117" i="30"/>
  <c r="H125" i="30" s="1"/>
  <c r="G117" i="30"/>
  <c r="G125" i="30" s="1"/>
  <c r="E117" i="30"/>
  <c r="E125" i="30" s="1"/>
  <c r="D117" i="30"/>
  <c r="D125" i="30" s="1"/>
  <c r="B117" i="30"/>
  <c r="B125" i="30" s="1"/>
  <c r="AF116" i="30"/>
  <c r="AF121" i="30" s="1"/>
  <c r="AD116" i="30"/>
  <c r="AD121" i="30" s="1"/>
  <c r="AD122" i="30" s="1"/>
  <c r="AC116" i="30"/>
  <c r="AA116" i="30"/>
  <c r="AA124" i="30" s="1"/>
  <c r="Z116" i="30"/>
  <c r="Z121" i="30" s="1"/>
  <c r="X116" i="30"/>
  <c r="X124" i="30" s="1"/>
  <c r="W116" i="30"/>
  <c r="W124" i="30" s="1"/>
  <c r="U116" i="30"/>
  <c r="U124" i="30" s="1"/>
  <c r="T116" i="30"/>
  <c r="T150" i="30" s="1"/>
  <c r="R116" i="30"/>
  <c r="R149" i="30" s="1"/>
  <c r="S156" i="30" s="1"/>
  <c r="Q116" i="30"/>
  <c r="O116" i="30"/>
  <c r="O124" i="30" s="1"/>
  <c r="N116" i="30"/>
  <c r="N121" i="30" s="1"/>
  <c r="L116" i="30"/>
  <c r="L124" i="30" s="1"/>
  <c r="J116" i="30"/>
  <c r="J152" i="30" s="1"/>
  <c r="H116" i="30"/>
  <c r="H150" i="30" s="1"/>
  <c r="G116" i="30"/>
  <c r="G152" i="30" s="1"/>
  <c r="E116" i="30"/>
  <c r="E149" i="30" s="1"/>
  <c r="D116" i="30"/>
  <c r="B116" i="30"/>
  <c r="B124" i="30" s="1"/>
  <c r="AF115" i="30"/>
  <c r="AD115" i="30"/>
  <c r="AC115" i="30"/>
  <c r="AA115" i="30"/>
  <c r="Z115" i="30"/>
  <c r="X115" i="30"/>
  <c r="W115" i="30"/>
  <c r="U115" i="30"/>
  <c r="T115" i="30"/>
  <c r="R115" i="30"/>
  <c r="AM109" i="30" s="1"/>
  <c r="Q115" i="30"/>
  <c r="O115" i="30"/>
  <c r="AL112" i="30" s="1"/>
  <c r="N115" i="30"/>
  <c r="L115" i="30"/>
  <c r="J115" i="30"/>
  <c r="AJ112" i="30" s="1"/>
  <c r="H115" i="30"/>
  <c r="G115" i="30"/>
  <c r="E115" i="30"/>
  <c r="AI112" i="30" s="1"/>
  <c r="D115" i="30"/>
  <c r="AH111" i="30" s="1"/>
  <c r="B115" i="30"/>
  <c r="AE114" i="30"/>
  <c r="AB114" i="30"/>
  <c r="Y114" i="30"/>
  <c r="V114" i="30"/>
  <c r="S114" i="30"/>
  <c r="P114" i="30"/>
  <c r="M114" i="30"/>
  <c r="I114" i="30"/>
  <c r="F114" i="30"/>
  <c r="A114" i="30"/>
  <c r="AQ113" i="30"/>
  <c r="AP113" i="30"/>
  <c r="AO113" i="30"/>
  <c r="AN113" i="30"/>
  <c r="AM113" i="30"/>
  <c r="AL113" i="30"/>
  <c r="AK113" i="30"/>
  <c r="AJ113" i="30"/>
  <c r="AI113" i="30"/>
  <c r="AH113" i="30"/>
  <c r="AG113" i="30"/>
  <c r="AE113" i="30"/>
  <c r="AB113" i="30"/>
  <c r="Y113" i="30"/>
  <c r="V113" i="30"/>
  <c r="S113" i="30"/>
  <c r="P113" i="30"/>
  <c r="M113" i="30"/>
  <c r="I113" i="30"/>
  <c r="F113" i="30"/>
  <c r="A113" i="30"/>
  <c r="AQ112" i="30"/>
  <c r="AP112" i="30"/>
  <c r="AO112" i="30"/>
  <c r="AN112" i="30"/>
  <c r="AM112" i="30"/>
  <c r="AK112" i="30"/>
  <c r="AH112" i="30"/>
  <c r="AG112" i="30"/>
  <c r="AE112" i="30"/>
  <c r="AB112" i="30"/>
  <c r="Y112" i="30"/>
  <c r="V112" i="30"/>
  <c r="S112" i="30"/>
  <c r="P112" i="30"/>
  <c r="M112" i="30"/>
  <c r="I112" i="30"/>
  <c r="F112" i="30"/>
  <c r="A112" i="30"/>
  <c r="AQ111" i="30"/>
  <c r="AP111" i="30"/>
  <c r="AO111" i="30"/>
  <c r="AN111" i="30"/>
  <c r="AM111" i="30"/>
  <c r="AJ111" i="30"/>
  <c r="AI111" i="30"/>
  <c r="AG111" i="30"/>
  <c r="AE111" i="30"/>
  <c r="AB111" i="30"/>
  <c r="Y111" i="30"/>
  <c r="V111" i="30"/>
  <c r="S111" i="30"/>
  <c r="P111" i="30"/>
  <c r="M111" i="30"/>
  <c r="I111" i="30"/>
  <c r="F111" i="30"/>
  <c r="A111" i="30"/>
  <c r="AQ110" i="30"/>
  <c r="AP110" i="30"/>
  <c r="AO110" i="30"/>
  <c r="AN110" i="30"/>
  <c r="AL110" i="30"/>
  <c r="AK110" i="30"/>
  <c r="AI110" i="30"/>
  <c r="AH110" i="30"/>
  <c r="AG110" i="30"/>
  <c r="AE110" i="30"/>
  <c r="AB110" i="30"/>
  <c r="Y110" i="30"/>
  <c r="V110" i="30"/>
  <c r="S110" i="30"/>
  <c r="P110" i="30"/>
  <c r="M110" i="30"/>
  <c r="I110" i="30"/>
  <c r="F110" i="30"/>
  <c r="AQ109" i="30"/>
  <c r="AP109" i="30"/>
  <c r="AO109" i="30"/>
  <c r="AN109" i="30"/>
  <c r="AL109" i="30"/>
  <c r="AJ109" i="30"/>
  <c r="AH109" i="30"/>
  <c r="AG109" i="30"/>
  <c r="AE109" i="30"/>
  <c r="AB109" i="30"/>
  <c r="Y109" i="30"/>
  <c r="V109" i="30"/>
  <c r="S109" i="30"/>
  <c r="P109" i="30"/>
  <c r="M109" i="30"/>
  <c r="I109" i="30"/>
  <c r="F109" i="30"/>
  <c r="AD107" i="30"/>
  <c r="AA107" i="30"/>
  <c r="X107" i="30"/>
  <c r="U107" i="30"/>
  <c r="R107" i="30"/>
  <c r="O107" i="30"/>
  <c r="L107" i="30"/>
  <c r="H107" i="30"/>
  <c r="E107" i="30"/>
  <c r="E102" i="30"/>
  <c r="E101" i="30"/>
  <c r="B168" i="30" s="1"/>
  <c r="A101" i="30"/>
  <c r="E100" i="30"/>
  <c r="E99" i="30"/>
  <c r="B167" i="30" s="1"/>
  <c r="A99" i="30"/>
  <c r="E98" i="30"/>
  <c r="E97" i="30"/>
  <c r="B166" i="30" s="1"/>
  <c r="A97" i="30"/>
  <c r="E96" i="30"/>
  <c r="E95" i="30"/>
  <c r="B165" i="30" s="1"/>
  <c r="A95" i="30"/>
  <c r="E94" i="30"/>
  <c r="E93" i="30"/>
  <c r="B164" i="30" s="1"/>
  <c r="A93" i="30"/>
  <c r="S92" i="30"/>
  <c r="M92" i="30"/>
  <c r="K91" i="30"/>
  <c r="A89" i="30"/>
  <c r="AF85" i="30"/>
  <c r="AD85" i="30"/>
  <c r="AC85" i="30"/>
  <c r="AA85" i="30"/>
  <c r="Z85" i="30"/>
  <c r="X85" i="30"/>
  <c r="W85" i="30"/>
  <c r="U85" i="30"/>
  <c r="AF76" i="30"/>
  <c r="AD76" i="30"/>
  <c r="AC76" i="30"/>
  <c r="AA76" i="30"/>
  <c r="Z76" i="30"/>
  <c r="X76" i="30"/>
  <c r="W76" i="30"/>
  <c r="U76" i="30"/>
  <c r="T76" i="30"/>
  <c r="R76" i="30"/>
  <c r="Q76" i="30"/>
  <c r="O76" i="30"/>
  <c r="N76" i="30"/>
  <c r="L76" i="30"/>
  <c r="J76" i="30"/>
  <c r="H76" i="30"/>
  <c r="G76" i="30"/>
  <c r="E76" i="30"/>
  <c r="D76" i="30"/>
  <c r="B76" i="30"/>
  <c r="AF75" i="30"/>
  <c r="AD75" i="30"/>
  <c r="AC75" i="30"/>
  <c r="AA75" i="30"/>
  <c r="Z75" i="30"/>
  <c r="X75" i="30"/>
  <c r="W75" i="30"/>
  <c r="U75" i="30"/>
  <c r="T75" i="30"/>
  <c r="R75" i="30"/>
  <c r="O75" i="30"/>
  <c r="N75" i="30"/>
  <c r="L75" i="30"/>
  <c r="H75" i="30"/>
  <c r="E75" i="30"/>
  <c r="D75" i="30"/>
  <c r="B75" i="30"/>
  <c r="AF74" i="30"/>
  <c r="AD74" i="30"/>
  <c r="AC74" i="30"/>
  <c r="AA74" i="30"/>
  <c r="Z74" i="30"/>
  <c r="X74" i="30"/>
  <c r="W74" i="30"/>
  <c r="U74" i="30"/>
  <c r="T74" i="30"/>
  <c r="R74" i="30"/>
  <c r="Q74" i="30"/>
  <c r="L74" i="30"/>
  <c r="J74" i="30"/>
  <c r="H74" i="30"/>
  <c r="G74" i="30"/>
  <c r="E74" i="30"/>
  <c r="B74" i="30"/>
  <c r="AF73" i="30"/>
  <c r="AD73" i="30"/>
  <c r="AC73" i="30"/>
  <c r="AA73" i="30"/>
  <c r="Z73" i="30"/>
  <c r="X73" i="30"/>
  <c r="W73" i="30"/>
  <c r="U73" i="30"/>
  <c r="R73" i="30"/>
  <c r="Q73" i="30"/>
  <c r="O73" i="30"/>
  <c r="N73" i="30"/>
  <c r="L73" i="30"/>
  <c r="J73" i="30"/>
  <c r="G73" i="30"/>
  <c r="E73" i="30"/>
  <c r="D73" i="30"/>
  <c r="AF72" i="30"/>
  <c r="AD72" i="30"/>
  <c r="AC72" i="30"/>
  <c r="AA72" i="30"/>
  <c r="Z72" i="30"/>
  <c r="X72" i="30"/>
  <c r="W72" i="30"/>
  <c r="U72" i="30"/>
  <c r="T72" i="30"/>
  <c r="Q72" i="30"/>
  <c r="O72" i="30"/>
  <c r="N72" i="30"/>
  <c r="J72" i="30"/>
  <c r="H72" i="30"/>
  <c r="G72" i="30"/>
  <c r="D72" i="30"/>
  <c r="B72" i="30"/>
  <c r="AF68" i="30"/>
  <c r="AD68" i="30"/>
  <c r="AC68" i="30"/>
  <c r="AA68" i="30"/>
  <c r="Z68" i="30"/>
  <c r="X68" i="30"/>
  <c r="W68" i="30"/>
  <c r="U68" i="30"/>
  <c r="T68" i="30"/>
  <c r="R68" i="30"/>
  <c r="Q68" i="30"/>
  <c r="O68" i="30"/>
  <c r="N68" i="30"/>
  <c r="L68" i="30"/>
  <c r="J68" i="30"/>
  <c r="H68" i="30"/>
  <c r="G68" i="30"/>
  <c r="E68" i="30"/>
  <c r="D68" i="30"/>
  <c r="B68" i="30"/>
  <c r="AF67" i="30"/>
  <c r="AD67" i="30"/>
  <c r="AC67" i="30"/>
  <c r="AA67" i="30"/>
  <c r="Z67" i="30"/>
  <c r="X67" i="30"/>
  <c r="W67" i="30"/>
  <c r="U67" i="30"/>
  <c r="T67" i="30"/>
  <c r="R67" i="30"/>
  <c r="O67" i="30"/>
  <c r="N67" i="30"/>
  <c r="L67" i="30"/>
  <c r="H67" i="30"/>
  <c r="E67" i="30"/>
  <c r="D67" i="30"/>
  <c r="B67" i="30"/>
  <c r="AF66" i="30"/>
  <c r="AD66" i="30"/>
  <c r="AC66" i="30"/>
  <c r="AA66" i="30"/>
  <c r="Z66" i="30"/>
  <c r="X66" i="30"/>
  <c r="W66" i="30"/>
  <c r="U66" i="30"/>
  <c r="T66" i="30"/>
  <c r="R66" i="30"/>
  <c r="Q66" i="30"/>
  <c r="L66" i="30"/>
  <c r="J66" i="30"/>
  <c r="H66" i="30"/>
  <c r="G66" i="30"/>
  <c r="E66" i="30"/>
  <c r="B66" i="30"/>
  <c r="AF65" i="30"/>
  <c r="AD65" i="30"/>
  <c r="AC65" i="30"/>
  <c r="AA65" i="30"/>
  <c r="Z65" i="30"/>
  <c r="X65" i="30"/>
  <c r="W65" i="30"/>
  <c r="U65" i="30"/>
  <c r="R65" i="30"/>
  <c r="Q65" i="30"/>
  <c r="O65" i="30"/>
  <c r="N65" i="30"/>
  <c r="L65" i="30"/>
  <c r="J65" i="30"/>
  <c r="G65" i="30"/>
  <c r="E65" i="30"/>
  <c r="D65" i="30"/>
  <c r="AF64" i="30"/>
  <c r="AD64" i="30"/>
  <c r="AC64" i="30"/>
  <c r="AA64" i="30"/>
  <c r="Z64" i="30"/>
  <c r="X64" i="30"/>
  <c r="W64" i="30"/>
  <c r="U64" i="30"/>
  <c r="V71" i="30" s="1"/>
  <c r="T64" i="30"/>
  <c r="Q64" i="30"/>
  <c r="O64" i="30"/>
  <c r="N64" i="30"/>
  <c r="J64" i="30"/>
  <c r="H64" i="30"/>
  <c r="G64" i="30"/>
  <c r="D64" i="30"/>
  <c r="B64" i="30"/>
  <c r="AF62" i="30"/>
  <c r="AD62" i="30"/>
  <c r="AC62" i="30"/>
  <c r="AA62" i="30"/>
  <c r="Z62" i="30"/>
  <c r="X62" i="30"/>
  <c r="W62" i="30"/>
  <c r="U62" i="30"/>
  <c r="T62" i="30"/>
  <c r="R62" i="30"/>
  <c r="Q62" i="30"/>
  <c r="O62" i="30"/>
  <c r="N62" i="30"/>
  <c r="L62" i="30"/>
  <c r="J62" i="30"/>
  <c r="H62" i="30"/>
  <c r="G62" i="30"/>
  <c r="E62" i="30"/>
  <c r="D62" i="30"/>
  <c r="B62" i="30"/>
  <c r="AF61" i="30"/>
  <c r="AD61" i="30"/>
  <c r="AC61" i="30"/>
  <c r="AA61" i="30"/>
  <c r="Z61" i="30"/>
  <c r="X61" i="30"/>
  <c r="W61" i="30"/>
  <c r="U61" i="30"/>
  <c r="T61" i="30"/>
  <c r="R61" i="30"/>
  <c r="O61" i="30"/>
  <c r="N61" i="30"/>
  <c r="L61" i="30"/>
  <c r="H61" i="30"/>
  <c r="E61" i="30"/>
  <c r="D61" i="30"/>
  <c r="B61" i="30"/>
  <c r="AF60" i="30"/>
  <c r="AD60" i="30"/>
  <c r="AC60" i="30"/>
  <c r="AA60" i="30"/>
  <c r="Z60" i="30"/>
  <c r="X60" i="30"/>
  <c r="W60" i="30"/>
  <c r="U60" i="30"/>
  <c r="T60" i="30"/>
  <c r="R60" i="30"/>
  <c r="Q60" i="30"/>
  <c r="L60" i="30"/>
  <c r="J60" i="30"/>
  <c r="H60" i="30"/>
  <c r="G60" i="30"/>
  <c r="E60" i="30"/>
  <c r="B60" i="30"/>
  <c r="AF59" i="30"/>
  <c r="AD59" i="30"/>
  <c r="AC59" i="30"/>
  <c r="AA59" i="30"/>
  <c r="Z59" i="30"/>
  <c r="X59" i="30"/>
  <c r="W59" i="30"/>
  <c r="U59" i="30"/>
  <c r="R59" i="30"/>
  <c r="Q59" i="30"/>
  <c r="O59" i="30"/>
  <c r="N59" i="30"/>
  <c r="L59" i="30"/>
  <c r="J59" i="30"/>
  <c r="G59" i="30"/>
  <c r="E59" i="30"/>
  <c r="D59" i="30"/>
  <c r="AF58" i="30"/>
  <c r="AD58" i="30"/>
  <c r="AC58" i="30"/>
  <c r="AA58" i="30"/>
  <c r="Z58" i="30"/>
  <c r="X58" i="30"/>
  <c r="W58" i="30"/>
  <c r="U58" i="30"/>
  <c r="T58" i="30"/>
  <c r="Q58" i="30"/>
  <c r="O58" i="30"/>
  <c r="N58" i="30"/>
  <c r="J58" i="30"/>
  <c r="H58" i="30"/>
  <c r="G58" i="30"/>
  <c r="D58" i="30"/>
  <c r="B58" i="30"/>
  <c r="AF56" i="30"/>
  <c r="AD56" i="30"/>
  <c r="AC56" i="30"/>
  <c r="AA56" i="30"/>
  <c r="Z56" i="30"/>
  <c r="X56" i="30"/>
  <c r="W56" i="30"/>
  <c r="U56" i="30"/>
  <c r="T56" i="30"/>
  <c r="R56" i="30"/>
  <c r="Q56" i="30"/>
  <c r="O56" i="30"/>
  <c r="N56" i="30"/>
  <c r="L56" i="30"/>
  <c r="J56" i="30"/>
  <c r="H56" i="30"/>
  <c r="G56" i="30"/>
  <c r="E56" i="30"/>
  <c r="D56" i="30"/>
  <c r="B56" i="30"/>
  <c r="AF55" i="30"/>
  <c r="AD55" i="30"/>
  <c r="AC55" i="30"/>
  <c r="AA55" i="30"/>
  <c r="Z55" i="30"/>
  <c r="X55" i="30"/>
  <c r="W55" i="30"/>
  <c r="U55" i="30"/>
  <c r="T55" i="30"/>
  <c r="R55" i="30"/>
  <c r="O55" i="30"/>
  <c r="N55" i="30"/>
  <c r="L55" i="30"/>
  <c r="H55" i="30"/>
  <c r="E55" i="30"/>
  <c r="D55" i="30"/>
  <c r="B55" i="30"/>
  <c r="AF54" i="30"/>
  <c r="AD54" i="30"/>
  <c r="AC54" i="30"/>
  <c r="AA54" i="30"/>
  <c r="Z54" i="30"/>
  <c r="X54" i="30"/>
  <c r="W54" i="30"/>
  <c r="U54" i="30"/>
  <c r="T54" i="30"/>
  <c r="R54" i="30"/>
  <c r="Q54" i="30"/>
  <c r="L54" i="30"/>
  <c r="J54" i="30"/>
  <c r="H54" i="30"/>
  <c r="G54" i="30"/>
  <c r="E54" i="30"/>
  <c r="B54" i="30"/>
  <c r="AF53" i="30"/>
  <c r="AD53" i="30"/>
  <c r="AC53" i="30"/>
  <c r="AA53" i="30"/>
  <c r="Z53" i="30"/>
  <c r="X53" i="30"/>
  <c r="W53" i="30"/>
  <c r="U53" i="30"/>
  <c r="R53" i="30"/>
  <c r="Q53" i="30"/>
  <c r="O53" i="30"/>
  <c r="N53" i="30"/>
  <c r="L53" i="30"/>
  <c r="J53" i="30"/>
  <c r="G53" i="30"/>
  <c r="E53" i="30"/>
  <c r="D53" i="30"/>
  <c r="AF52" i="30"/>
  <c r="AD52" i="30"/>
  <c r="AC52" i="30"/>
  <c r="AA52" i="30"/>
  <c r="Z52" i="30"/>
  <c r="X52" i="30"/>
  <c r="W52" i="30"/>
  <c r="U52" i="30"/>
  <c r="T52" i="30"/>
  <c r="Q52" i="30"/>
  <c r="O52" i="30"/>
  <c r="N52" i="30"/>
  <c r="J52" i="30"/>
  <c r="H52" i="30"/>
  <c r="G52" i="30"/>
  <c r="D52" i="30"/>
  <c r="B52" i="30"/>
  <c r="AF50" i="30"/>
  <c r="AD50" i="30"/>
  <c r="AC50" i="30"/>
  <c r="AA50" i="30"/>
  <c r="Z50" i="30"/>
  <c r="X50" i="30"/>
  <c r="W50" i="30"/>
  <c r="U50" i="30"/>
  <c r="T50" i="30"/>
  <c r="R50" i="30"/>
  <c r="Q50" i="30"/>
  <c r="O50" i="30"/>
  <c r="N50" i="30"/>
  <c r="L50" i="30"/>
  <c r="J50" i="30"/>
  <c r="H50" i="30"/>
  <c r="G50" i="30"/>
  <c r="E50" i="30"/>
  <c r="D50" i="30"/>
  <c r="B50" i="30"/>
  <c r="AF49" i="30"/>
  <c r="AD49" i="30"/>
  <c r="AC49" i="30"/>
  <c r="AA49" i="30"/>
  <c r="Z49" i="30"/>
  <c r="X49" i="30"/>
  <c r="W49" i="30"/>
  <c r="U49" i="30"/>
  <c r="T49" i="30"/>
  <c r="R49" i="30"/>
  <c r="O49" i="30"/>
  <c r="N49" i="30"/>
  <c r="L49" i="30"/>
  <c r="H49" i="30"/>
  <c r="E49" i="30"/>
  <c r="D49" i="30"/>
  <c r="B49" i="30"/>
  <c r="AF48" i="30"/>
  <c r="AD48" i="30"/>
  <c r="AC48" i="30"/>
  <c r="AA48" i="30"/>
  <c r="Z48" i="30"/>
  <c r="X48" i="30"/>
  <c r="W48" i="30"/>
  <c r="U48" i="30"/>
  <c r="T48" i="30"/>
  <c r="R48" i="30"/>
  <c r="Q48" i="30"/>
  <c r="L48" i="30"/>
  <c r="J48" i="30"/>
  <c r="H48" i="30"/>
  <c r="G48" i="30"/>
  <c r="E48" i="30"/>
  <c r="B48" i="30"/>
  <c r="AF47" i="30"/>
  <c r="AD47" i="30"/>
  <c r="AC47" i="30"/>
  <c r="AA47" i="30"/>
  <c r="Z47" i="30"/>
  <c r="X47" i="30"/>
  <c r="W47" i="30"/>
  <c r="U47" i="30"/>
  <c r="R47" i="30"/>
  <c r="Q47" i="30"/>
  <c r="O47" i="30"/>
  <c r="N47" i="30"/>
  <c r="L47" i="30"/>
  <c r="J47" i="30"/>
  <c r="G47" i="30"/>
  <c r="E47" i="30"/>
  <c r="D47" i="30"/>
  <c r="AF46" i="30"/>
  <c r="AD46" i="30"/>
  <c r="AC46" i="30"/>
  <c r="AA46" i="30"/>
  <c r="Z46" i="30"/>
  <c r="X46" i="30"/>
  <c r="W46" i="30"/>
  <c r="U46" i="30"/>
  <c r="T46" i="30"/>
  <c r="Q46" i="30"/>
  <c r="O46" i="30"/>
  <c r="N46" i="30"/>
  <c r="J46" i="30"/>
  <c r="H46" i="30"/>
  <c r="G46" i="30"/>
  <c r="D46" i="30"/>
  <c r="B46" i="30"/>
  <c r="AD43" i="30"/>
  <c r="AC43" i="30"/>
  <c r="L43" i="30"/>
  <c r="E43" i="30"/>
  <c r="D43" i="30"/>
  <c r="R42" i="30"/>
  <c r="L42" i="30"/>
  <c r="J42" i="30"/>
  <c r="X41" i="30"/>
  <c r="R41" i="30"/>
  <c r="Q41" i="30"/>
  <c r="AD40" i="30"/>
  <c r="X40" i="30"/>
  <c r="W40" i="30"/>
  <c r="AD39" i="30"/>
  <c r="AC39" i="30"/>
  <c r="AF35" i="30"/>
  <c r="AF43" i="30" s="1"/>
  <c r="AD35" i="30"/>
  <c r="AC35" i="30"/>
  <c r="AA35" i="30"/>
  <c r="AA43" i="30" s="1"/>
  <c r="Z35" i="30"/>
  <c r="Z43" i="30" s="1"/>
  <c r="X35" i="30"/>
  <c r="X43" i="30" s="1"/>
  <c r="W35" i="30"/>
  <c r="W43" i="30" s="1"/>
  <c r="U35" i="30"/>
  <c r="U43" i="30" s="1"/>
  <c r="T35" i="30"/>
  <c r="T43" i="30" s="1"/>
  <c r="R35" i="30"/>
  <c r="R43" i="30" s="1"/>
  <c r="Q35" i="30"/>
  <c r="Q43" i="30" s="1"/>
  <c r="O35" i="30"/>
  <c r="O43" i="30" s="1"/>
  <c r="N35" i="30"/>
  <c r="N43" i="30" s="1"/>
  <c r="L35" i="30"/>
  <c r="J35" i="30"/>
  <c r="J43" i="30" s="1"/>
  <c r="H35" i="30"/>
  <c r="H43" i="30" s="1"/>
  <c r="G35" i="30"/>
  <c r="G43" i="30" s="1"/>
  <c r="E35" i="30"/>
  <c r="D35" i="30"/>
  <c r="B35" i="30"/>
  <c r="B43" i="30" s="1"/>
  <c r="AF34" i="30"/>
  <c r="AF42" i="30" s="1"/>
  <c r="AD34" i="30"/>
  <c r="AD42" i="30" s="1"/>
  <c r="AC34" i="30"/>
  <c r="AC42" i="30" s="1"/>
  <c r="AA34" i="30"/>
  <c r="AA42" i="30" s="1"/>
  <c r="Z34" i="30"/>
  <c r="Z42" i="30" s="1"/>
  <c r="X34" i="30"/>
  <c r="X42" i="30" s="1"/>
  <c r="W34" i="30"/>
  <c r="W42" i="30" s="1"/>
  <c r="U34" i="30"/>
  <c r="U42" i="30" s="1"/>
  <c r="T34" i="30"/>
  <c r="T42" i="30" s="1"/>
  <c r="R34" i="30"/>
  <c r="Q34" i="30"/>
  <c r="Q42" i="30" s="1"/>
  <c r="O34" i="30"/>
  <c r="O42" i="30" s="1"/>
  <c r="N34" i="30"/>
  <c r="N42" i="30" s="1"/>
  <c r="L34" i="30"/>
  <c r="J34" i="30"/>
  <c r="H34" i="30"/>
  <c r="H42" i="30" s="1"/>
  <c r="G34" i="30"/>
  <c r="G42" i="30" s="1"/>
  <c r="E34" i="30"/>
  <c r="E42" i="30" s="1"/>
  <c r="D34" i="30"/>
  <c r="D42" i="30" s="1"/>
  <c r="B34" i="30"/>
  <c r="B42" i="30" s="1"/>
  <c r="AF33" i="30"/>
  <c r="AF41" i="30" s="1"/>
  <c r="AD33" i="30"/>
  <c r="AD41" i="30" s="1"/>
  <c r="AC33" i="30"/>
  <c r="AC41" i="30" s="1"/>
  <c r="AA33" i="30"/>
  <c r="AA41" i="30" s="1"/>
  <c r="Z33" i="30"/>
  <c r="Z41" i="30" s="1"/>
  <c r="X33" i="30"/>
  <c r="W33" i="30"/>
  <c r="W41" i="30" s="1"/>
  <c r="U33" i="30"/>
  <c r="U41" i="30" s="1"/>
  <c r="T33" i="30"/>
  <c r="T41" i="30" s="1"/>
  <c r="R33" i="30"/>
  <c r="Q33" i="30"/>
  <c r="O33" i="30"/>
  <c r="O41" i="30" s="1"/>
  <c r="N33" i="30"/>
  <c r="N41" i="30" s="1"/>
  <c r="L33" i="30"/>
  <c r="L41" i="30" s="1"/>
  <c r="J33" i="30"/>
  <c r="J41" i="30" s="1"/>
  <c r="H33" i="30"/>
  <c r="H41" i="30" s="1"/>
  <c r="G33" i="30"/>
  <c r="G41" i="30" s="1"/>
  <c r="E33" i="30"/>
  <c r="E41" i="30" s="1"/>
  <c r="D33" i="30"/>
  <c r="D41" i="30" s="1"/>
  <c r="B33" i="30"/>
  <c r="B41" i="30" s="1"/>
  <c r="AF32" i="30"/>
  <c r="AF40" i="30" s="1"/>
  <c r="AD32" i="30"/>
  <c r="AC32" i="30"/>
  <c r="AC40" i="30" s="1"/>
  <c r="AA32" i="30"/>
  <c r="AA40" i="30" s="1"/>
  <c r="Z32" i="30"/>
  <c r="Z40" i="30" s="1"/>
  <c r="X32" i="30"/>
  <c r="W32" i="30"/>
  <c r="U32" i="30"/>
  <c r="U40" i="30" s="1"/>
  <c r="T32" i="30"/>
  <c r="T40" i="30" s="1"/>
  <c r="R32" i="30"/>
  <c r="R40" i="30" s="1"/>
  <c r="Q32" i="30"/>
  <c r="Q40" i="30" s="1"/>
  <c r="O32" i="30"/>
  <c r="O40" i="30" s="1"/>
  <c r="N32" i="30"/>
  <c r="N40" i="30" s="1"/>
  <c r="L32" i="30"/>
  <c r="L40" i="30" s="1"/>
  <c r="J32" i="30"/>
  <c r="J40" i="30" s="1"/>
  <c r="H32" i="30"/>
  <c r="H40" i="30" s="1"/>
  <c r="G32" i="30"/>
  <c r="G40" i="30" s="1"/>
  <c r="E32" i="30"/>
  <c r="E40" i="30" s="1"/>
  <c r="D32" i="30"/>
  <c r="D40" i="30" s="1"/>
  <c r="B32" i="30"/>
  <c r="B40" i="30" s="1"/>
  <c r="AF31" i="30"/>
  <c r="AF39" i="30" s="1"/>
  <c r="AD31" i="30"/>
  <c r="AC31" i="30"/>
  <c r="AA31" i="30"/>
  <c r="AA39" i="30" s="1"/>
  <c r="Z31" i="30"/>
  <c r="Z39" i="30" s="1"/>
  <c r="X31" i="30"/>
  <c r="X39" i="30" s="1"/>
  <c r="W31" i="30"/>
  <c r="W36" i="30" s="1"/>
  <c r="U31" i="30"/>
  <c r="U36" i="30" s="1"/>
  <c r="T31" i="30"/>
  <c r="T39" i="30" s="1"/>
  <c r="R31" i="30"/>
  <c r="R64" i="30" s="1"/>
  <c r="Q31" i="30"/>
  <c r="Q39" i="30" s="1"/>
  <c r="O31" i="30"/>
  <c r="N31" i="30"/>
  <c r="N66" i="30" s="1"/>
  <c r="L31" i="30"/>
  <c r="L39" i="30" s="1"/>
  <c r="J31" i="30"/>
  <c r="J36" i="30" s="1"/>
  <c r="H31" i="30"/>
  <c r="H36" i="30" s="1"/>
  <c r="G31" i="30"/>
  <c r="E31" i="30"/>
  <c r="E39" i="30" s="1"/>
  <c r="D31" i="30"/>
  <c r="B31" i="30"/>
  <c r="B39" i="30" s="1"/>
  <c r="AF30" i="30"/>
  <c r="AD30" i="30"/>
  <c r="AC30" i="30"/>
  <c r="AA30" i="30"/>
  <c r="Z30" i="30"/>
  <c r="X30" i="30"/>
  <c r="W30" i="30"/>
  <c r="U30" i="30"/>
  <c r="T30" i="30"/>
  <c r="R30" i="30"/>
  <c r="Q30" i="30"/>
  <c r="O30" i="30"/>
  <c r="N30" i="30"/>
  <c r="AK26" i="30" s="1"/>
  <c r="L30" i="30"/>
  <c r="J30" i="30"/>
  <c r="H30" i="30"/>
  <c r="G30" i="30"/>
  <c r="AI24" i="30" s="1"/>
  <c r="E30" i="30"/>
  <c r="D30" i="30"/>
  <c r="AH26" i="30" s="1"/>
  <c r="B30" i="30"/>
  <c r="AE29" i="30"/>
  <c r="AB29" i="30"/>
  <c r="Y29" i="30"/>
  <c r="V29" i="30"/>
  <c r="S29" i="30"/>
  <c r="P29" i="30"/>
  <c r="M29" i="30"/>
  <c r="I29" i="30"/>
  <c r="F29" i="30"/>
  <c r="A29" i="30"/>
  <c r="AQ28" i="30"/>
  <c r="AP28" i="30"/>
  <c r="AO28" i="30"/>
  <c r="AN28" i="30"/>
  <c r="AM28" i="30"/>
  <c r="AL28" i="30"/>
  <c r="AK28" i="30"/>
  <c r="AJ28" i="30"/>
  <c r="AI28" i="30"/>
  <c r="AH28" i="30"/>
  <c r="AG28" i="30"/>
  <c r="AE28" i="30"/>
  <c r="AB28" i="30"/>
  <c r="Y28" i="30"/>
  <c r="V28" i="30"/>
  <c r="S28" i="30"/>
  <c r="P28" i="30"/>
  <c r="M28" i="30"/>
  <c r="I28" i="30"/>
  <c r="F28" i="30"/>
  <c r="A28" i="30"/>
  <c r="AQ27" i="30"/>
  <c r="AP27" i="30"/>
  <c r="AO27" i="30"/>
  <c r="AN27" i="30"/>
  <c r="AM27" i="30"/>
  <c r="AK27" i="30"/>
  <c r="AJ27" i="30"/>
  <c r="AH27" i="30"/>
  <c r="AG27" i="30"/>
  <c r="AE27" i="30"/>
  <c r="AB27" i="30"/>
  <c r="Y27" i="30"/>
  <c r="V27" i="30"/>
  <c r="S27" i="30"/>
  <c r="P27" i="30"/>
  <c r="M27" i="30"/>
  <c r="I27" i="30"/>
  <c r="F27" i="30"/>
  <c r="A27" i="30"/>
  <c r="AQ26" i="30"/>
  <c r="AP26" i="30"/>
  <c r="AO26" i="30"/>
  <c r="AN26" i="30"/>
  <c r="AM26" i="30"/>
  <c r="AJ26" i="30"/>
  <c r="AI26" i="30"/>
  <c r="AG26" i="30"/>
  <c r="AE26" i="30"/>
  <c r="AB26" i="30"/>
  <c r="Y26" i="30"/>
  <c r="V26" i="30"/>
  <c r="S26" i="30"/>
  <c r="P26" i="30"/>
  <c r="M26" i="30"/>
  <c r="I26" i="30"/>
  <c r="F26" i="30"/>
  <c r="A26" i="30"/>
  <c r="AQ25" i="30"/>
  <c r="AP25" i="30"/>
  <c r="AO25" i="30"/>
  <c r="AN25" i="30"/>
  <c r="AL25" i="30"/>
  <c r="AK25" i="30"/>
  <c r="AJ25" i="30"/>
  <c r="AI25" i="30"/>
  <c r="AG25" i="30"/>
  <c r="AE25" i="30"/>
  <c r="AB25" i="30"/>
  <c r="Y25" i="30"/>
  <c r="V25" i="30"/>
  <c r="S25" i="30"/>
  <c r="P25" i="30"/>
  <c r="M25" i="30"/>
  <c r="I25" i="30"/>
  <c r="F25" i="30"/>
  <c r="AQ24" i="30"/>
  <c r="AP24" i="30"/>
  <c r="AO24" i="30"/>
  <c r="AN24" i="30"/>
  <c r="AL24" i="30"/>
  <c r="AJ24" i="30"/>
  <c r="AH24" i="30"/>
  <c r="AG24" i="30"/>
  <c r="AE24" i="30"/>
  <c r="AB24" i="30"/>
  <c r="Y24" i="30"/>
  <c r="V24" i="30"/>
  <c r="S24" i="30"/>
  <c r="P24" i="30"/>
  <c r="M24" i="30"/>
  <c r="I24" i="30"/>
  <c r="F24" i="30"/>
  <c r="AD22" i="30"/>
  <c r="AA22" i="30"/>
  <c r="X22" i="30"/>
  <c r="U22" i="30"/>
  <c r="R22" i="30"/>
  <c r="O22" i="30"/>
  <c r="L22" i="30"/>
  <c r="H22" i="30"/>
  <c r="E22" i="30"/>
  <c r="E17" i="30"/>
  <c r="E16" i="30"/>
  <c r="B83" i="30" s="1"/>
  <c r="AT83" i="30" s="1"/>
  <c r="A16" i="30"/>
  <c r="E15" i="30"/>
  <c r="E14" i="30"/>
  <c r="B82" i="30" s="1"/>
  <c r="A14" i="30"/>
  <c r="E13" i="30"/>
  <c r="E12" i="30"/>
  <c r="B81" i="30" s="1"/>
  <c r="A12" i="30"/>
  <c r="E11" i="30"/>
  <c r="E10" i="30"/>
  <c r="B80" i="30" s="1"/>
  <c r="A10" i="30"/>
  <c r="E9" i="30"/>
  <c r="E8" i="30"/>
  <c r="B79" i="30" s="1"/>
  <c r="A8" i="30"/>
  <c r="S7" i="30"/>
  <c r="M7" i="30"/>
  <c r="K6" i="30"/>
  <c r="AV13" i="19"/>
  <c r="AU13" i="19"/>
  <c r="AV12" i="19"/>
  <c r="AU12" i="19"/>
  <c r="AV11" i="19"/>
  <c r="AU11" i="19"/>
  <c r="AV10" i="19"/>
  <c r="AU10" i="19"/>
  <c r="AV9" i="19"/>
  <c r="AU9" i="19"/>
  <c r="AV8" i="19"/>
  <c r="AU8" i="19"/>
  <c r="AV7" i="19"/>
  <c r="AU7" i="19"/>
  <c r="AV6" i="19"/>
  <c r="AU6" i="19"/>
  <c r="AV5" i="19"/>
  <c r="AU5" i="19"/>
  <c r="AV4" i="19"/>
  <c r="AU4" i="19"/>
  <c r="AV3" i="19"/>
  <c r="AU3" i="19"/>
  <c r="AV13" i="18"/>
  <c r="AU13" i="18"/>
  <c r="AV12" i="18"/>
  <c r="AU12" i="18"/>
  <c r="AV11" i="18"/>
  <c r="AU11" i="18"/>
  <c r="AV10" i="18"/>
  <c r="AU10" i="18"/>
  <c r="AV9" i="18"/>
  <c r="AU9" i="18"/>
  <c r="AV8" i="18"/>
  <c r="AU8" i="18"/>
  <c r="AV7" i="18"/>
  <c r="AU7" i="18"/>
  <c r="AV6" i="18"/>
  <c r="AU6" i="18"/>
  <c r="AV5" i="18"/>
  <c r="AU5" i="18"/>
  <c r="AV4" i="18"/>
  <c r="AU4" i="18"/>
  <c r="AV3" i="18"/>
  <c r="AU3" i="18"/>
  <c r="K427" i="25"/>
  <c r="F427" i="25"/>
  <c r="E427" i="25"/>
  <c r="K426" i="25"/>
  <c r="F426" i="25"/>
  <c r="E426" i="25"/>
  <c r="K425" i="25"/>
  <c r="F425" i="25"/>
  <c r="E425" i="25"/>
  <c r="K424" i="25"/>
  <c r="F424" i="25"/>
  <c r="E424" i="25"/>
  <c r="K423" i="25"/>
  <c r="F423" i="25"/>
  <c r="E423" i="25"/>
  <c r="K422" i="25"/>
  <c r="F422" i="25"/>
  <c r="E422" i="25"/>
  <c r="K421" i="25"/>
  <c r="F421" i="25"/>
  <c r="E421" i="25"/>
  <c r="K420" i="25"/>
  <c r="F420" i="25"/>
  <c r="E420" i="25"/>
  <c r="K419" i="25"/>
  <c r="F419" i="25"/>
  <c r="E419" i="25"/>
  <c r="K418" i="25"/>
  <c r="F418" i="25"/>
  <c r="E418" i="25"/>
  <c r="K417" i="25"/>
  <c r="F417" i="25"/>
  <c r="E417" i="25"/>
  <c r="K416" i="25"/>
  <c r="F416" i="25"/>
  <c r="E416" i="25"/>
  <c r="K415" i="25"/>
  <c r="F415" i="25"/>
  <c r="E415" i="25"/>
  <c r="K414" i="25"/>
  <c r="F414" i="25"/>
  <c r="E414" i="25"/>
  <c r="K413" i="25"/>
  <c r="F413" i="25"/>
  <c r="E413" i="25"/>
  <c r="K412" i="25"/>
  <c r="F412" i="25"/>
  <c r="E412" i="25"/>
  <c r="K411" i="25"/>
  <c r="F411" i="25"/>
  <c r="E411" i="25"/>
  <c r="K410" i="25"/>
  <c r="F410" i="25"/>
  <c r="E410" i="25"/>
  <c r="K409" i="25"/>
  <c r="F409" i="25"/>
  <c r="E409" i="25"/>
  <c r="K408" i="25"/>
  <c r="F408" i="25"/>
  <c r="E408" i="25"/>
  <c r="K407" i="25"/>
  <c r="F407" i="25"/>
  <c r="E407" i="25"/>
  <c r="K406" i="25"/>
  <c r="F406" i="25"/>
  <c r="E406" i="25"/>
  <c r="K405" i="25"/>
  <c r="F405" i="25"/>
  <c r="E405" i="25"/>
  <c r="K404" i="25"/>
  <c r="F404" i="25"/>
  <c r="E404" i="25"/>
  <c r="K403" i="25"/>
  <c r="F403" i="25"/>
  <c r="E403" i="25"/>
  <c r="K402" i="25"/>
  <c r="F402" i="25"/>
  <c r="E402" i="25"/>
  <c r="K401" i="25"/>
  <c r="F401" i="25"/>
  <c r="E401" i="25"/>
  <c r="K400" i="25"/>
  <c r="F400" i="25"/>
  <c r="E400" i="25"/>
  <c r="K399" i="25"/>
  <c r="F399" i="25"/>
  <c r="E399" i="25"/>
  <c r="K398" i="25"/>
  <c r="F398" i="25"/>
  <c r="E398" i="25"/>
  <c r="K397" i="25"/>
  <c r="F397" i="25"/>
  <c r="E397" i="25"/>
  <c r="K396" i="25"/>
  <c r="F396" i="25"/>
  <c r="E396" i="25"/>
  <c r="K395" i="25"/>
  <c r="F395" i="25"/>
  <c r="E395" i="25"/>
  <c r="K394" i="25"/>
  <c r="F394" i="25"/>
  <c r="E394" i="25"/>
  <c r="K393" i="25"/>
  <c r="F393" i="25"/>
  <c r="E393" i="25"/>
  <c r="C393" i="25" s="1"/>
  <c r="K392" i="25"/>
  <c r="D392" i="25" s="1"/>
  <c r="F392" i="25"/>
  <c r="E392" i="25"/>
  <c r="C392" i="25"/>
  <c r="K391" i="25"/>
  <c r="F391" i="25"/>
  <c r="E391" i="25"/>
  <c r="K390" i="25"/>
  <c r="F390" i="25"/>
  <c r="E390" i="25"/>
  <c r="K389" i="25"/>
  <c r="F389" i="25"/>
  <c r="E389" i="25"/>
  <c r="K388" i="25"/>
  <c r="F388" i="25"/>
  <c r="E388" i="25"/>
  <c r="K387" i="25"/>
  <c r="F387" i="25"/>
  <c r="E387" i="25"/>
  <c r="K386" i="25"/>
  <c r="F386" i="25"/>
  <c r="E386" i="25"/>
  <c r="K385" i="25"/>
  <c r="F385" i="25"/>
  <c r="E385" i="25"/>
  <c r="K384" i="25"/>
  <c r="F384" i="25"/>
  <c r="E384" i="25"/>
  <c r="K383" i="25"/>
  <c r="F383" i="25"/>
  <c r="E383" i="25"/>
  <c r="K382" i="25"/>
  <c r="F382" i="25"/>
  <c r="E382" i="25"/>
  <c r="K381" i="25"/>
  <c r="F381" i="25"/>
  <c r="E381" i="25"/>
  <c r="K380" i="25"/>
  <c r="F380" i="25"/>
  <c r="E380" i="25"/>
  <c r="K379" i="25"/>
  <c r="F379" i="25"/>
  <c r="E379" i="25"/>
  <c r="K378" i="25"/>
  <c r="F378" i="25"/>
  <c r="E378" i="25"/>
  <c r="K377" i="25"/>
  <c r="F377" i="25"/>
  <c r="E377" i="25"/>
  <c r="K376" i="25"/>
  <c r="F376" i="25"/>
  <c r="E376" i="25"/>
  <c r="K375" i="25"/>
  <c r="F375" i="25"/>
  <c r="E375" i="25"/>
  <c r="K374" i="25"/>
  <c r="F374" i="25"/>
  <c r="E374" i="25"/>
  <c r="K373" i="25"/>
  <c r="F373" i="25"/>
  <c r="E373" i="25"/>
  <c r="K372" i="25"/>
  <c r="F372" i="25"/>
  <c r="E372" i="25"/>
  <c r="K371" i="25"/>
  <c r="F371" i="25"/>
  <c r="E371" i="25"/>
  <c r="K370" i="25"/>
  <c r="F370" i="25"/>
  <c r="E370" i="25"/>
  <c r="K369" i="25"/>
  <c r="F369" i="25"/>
  <c r="E369" i="25"/>
  <c r="K368" i="25"/>
  <c r="F368" i="25"/>
  <c r="E368" i="25"/>
  <c r="K367" i="25"/>
  <c r="F367" i="25"/>
  <c r="E367" i="25"/>
  <c r="K366" i="25"/>
  <c r="F366" i="25"/>
  <c r="E366" i="25"/>
  <c r="K365" i="25"/>
  <c r="F365" i="25"/>
  <c r="E365" i="25"/>
  <c r="K364" i="25"/>
  <c r="F364" i="25"/>
  <c r="E364" i="25"/>
  <c r="K363" i="25"/>
  <c r="F363" i="25"/>
  <c r="E363" i="25"/>
  <c r="K362" i="25"/>
  <c r="F362" i="25"/>
  <c r="E362" i="25"/>
  <c r="K361" i="25"/>
  <c r="F361" i="25"/>
  <c r="E361" i="25"/>
  <c r="K360" i="25"/>
  <c r="F360" i="25"/>
  <c r="E360" i="25"/>
  <c r="K359" i="25"/>
  <c r="F359" i="25"/>
  <c r="E359" i="25"/>
  <c r="K358" i="25"/>
  <c r="F358" i="25"/>
  <c r="E358" i="25"/>
  <c r="K357" i="25"/>
  <c r="F357" i="25"/>
  <c r="E357" i="25"/>
  <c r="K356" i="25"/>
  <c r="F356" i="25"/>
  <c r="E356" i="25"/>
  <c r="K355" i="25"/>
  <c r="F355" i="25"/>
  <c r="E355" i="25"/>
  <c r="K354" i="25"/>
  <c r="F354" i="25"/>
  <c r="E354" i="25"/>
  <c r="K353" i="25"/>
  <c r="F353" i="25"/>
  <c r="E353" i="25"/>
  <c r="K352" i="25"/>
  <c r="F352" i="25"/>
  <c r="E352" i="25"/>
  <c r="K351" i="25"/>
  <c r="F351" i="25"/>
  <c r="E351" i="25"/>
  <c r="K350" i="25"/>
  <c r="F350" i="25"/>
  <c r="E350" i="25"/>
  <c r="K349" i="25"/>
  <c r="F349" i="25"/>
  <c r="E349" i="25"/>
  <c r="K348" i="25"/>
  <c r="F348" i="25"/>
  <c r="E348" i="25"/>
  <c r="K347" i="25"/>
  <c r="F347" i="25"/>
  <c r="E347" i="25"/>
  <c r="K346" i="25"/>
  <c r="F346" i="25"/>
  <c r="E346" i="25"/>
  <c r="K345" i="25"/>
  <c r="F345" i="25"/>
  <c r="E345" i="25"/>
  <c r="K344" i="25"/>
  <c r="F344" i="25"/>
  <c r="E344" i="25"/>
  <c r="K343" i="25"/>
  <c r="F343" i="25"/>
  <c r="E343" i="25"/>
  <c r="K342" i="25"/>
  <c r="F342" i="25"/>
  <c r="E342" i="25"/>
  <c r="C343" i="25" s="1"/>
  <c r="K341" i="25"/>
  <c r="F341" i="25"/>
  <c r="E341" i="25"/>
  <c r="K340" i="25"/>
  <c r="F340" i="25"/>
  <c r="E340" i="25"/>
  <c r="K339" i="25"/>
  <c r="F339" i="25"/>
  <c r="E339" i="25"/>
  <c r="K338" i="25"/>
  <c r="F338" i="25"/>
  <c r="E338" i="25"/>
  <c r="K337" i="25"/>
  <c r="F337" i="25"/>
  <c r="E337" i="25"/>
  <c r="K336" i="25"/>
  <c r="F336" i="25"/>
  <c r="E336" i="25"/>
  <c r="K335" i="25"/>
  <c r="F335" i="25"/>
  <c r="E335" i="25"/>
  <c r="K334" i="25"/>
  <c r="F334" i="25"/>
  <c r="E334" i="25"/>
  <c r="K333" i="25"/>
  <c r="F333" i="25"/>
  <c r="E333" i="25"/>
  <c r="K332" i="25"/>
  <c r="F332" i="25"/>
  <c r="E332" i="25"/>
  <c r="K331" i="25"/>
  <c r="F331" i="25"/>
  <c r="E331" i="25"/>
  <c r="K330" i="25"/>
  <c r="F330" i="25"/>
  <c r="E330" i="25"/>
  <c r="K329" i="25"/>
  <c r="F329" i="25"/>
  <c r="E329" i="25"/>
  <c r="K328" i="25"/>
  <c r="F328" i="25"/>
  <c r="E328" i="25"/>
  <c r="K327" i="25"/>
  <c r="F327" i="25"/>
  <c r="E327" i="25"/>
  <c r="K326" i="25"/>
  <c r="F326" i="25"/>
  <c r="E326" i="25"/>
  <c r="K325" i="25"/>
  <c r="F325" i="25"/>
  <c r="E325" i="25"/>
  <c r="K324" i="25"/>
  <c r="F324" i="25"/>
  <c r="E324" i="25"/>
  <c r="K323" i="25"/>
  <c r="F323" i="25"/>
  <c r="E323" i="25"/>
  <c r="K322" i="25"/>
  <c r="F322" i="25"/>
  <c r="E322" i="25"/>
  <c r="K321" i="25"/>
  <c r="F321" i="25"/>
  <c r="E321" i="25"/>
  <c r="K320" i="25"/>
  <c r="F320" i="25"/>
  <c r="E320" i="25"/>
  <c r="K319" i="25"/>
  <c r="F319" i="25"/>
  <c r="E319" i="25"/>
  <c r="K318" i="25"/>
  <c r="F318" i="25"/>
  <c r="E318" i="25"/>
  <c r="K317" i="25"/>
  <c r="F317" i="25"/>
  <c r="E317" i="25"/>
  <c r="K316" i="25"/>
  <c r="F316" i="25"/>
  <c r="E316" i="25"/>
  <c r="K315" i="25"/>
  <c r="F315" i="25"/>
  <c r="E315" i="25"/>
  <c r="K314" i="25"/>
  <c r="F314" i="25"/>
  <c r="E314" i="25"/>
  <c r="K313" i="25"/>
  <c r="F313" i="25"/>
  <c r="E313" i="25"/>
  <c r="K312" i="25"/>
  <c r="F312" i="25"/>
  <c r="E312" i="25"/>
  <c r="K311" i="25"/>
  <c r="F311" i="25"/>
  <c r="E311" i="25"/>
  <c r="K310" i="25"/>
  <c r="F310" i="25"/>
  <c r="E310" i="25"/>
  <c r="K309" i="25"/>
  <c r="F309" i="25"/>
  <c r="E309" i="25"/>
  <c r="K308" i="25"/>
  <c r="F308" i="25"/>
  <c r="E308" i="25"/>
  <c r="K307" i="25"/>
  <c r="F307" i="25"/>
  <c r="E307" i="25"/>
  <c r="K306" i="25"/>
  <c r="F306" i="25"/>
  <c r="E306" i="25"/>
  <c r="K305" i="25"/>
  <c r="F305" i="25"/>
  <c r="E305" i="25"/>
  <c r="K304" i="25"/>
  <c r="F304" i="25"/>
  <c r="E304" i="25"/>
  <c r="K303" i="25"/>
  <c r="F303" i="25"/>
  <c r="E303" i="25"/>
  <c r="K302" i="25"/>
  <c r="F302" i="25"/>
  <c r="E302" i="25"/>
  <c r="K301" i="25"/>
  <c r="F301" i="25"/>
  <c r="E301" i="25"/>
  <c r="K300" i="25"/>
  <c r="F300" i="25"/>
  <c r="E300" i="25"/>
  <c r="K299" i="25"/>
  <c r="F299" i="25"/>
  <c r="E299" i="25"/>
  <c r="K298" i="25"/>
  <c r="F298" i="25"/>
  <c r="E298" i="25"/>
  <c r="K297" i="25"/>
  <c r="F297" i="25"/>
  <c r="E297" i="25"/>
  <c r="K296" i="25"/>
  <c r="F296" i="25"/>
  <c r="E296" i="25"/>
  <c r="K295" i="25"/>
  <c r="F295" i="25"/>
  <c r="E295" i="25"/>
  <c r="K294" i="25"/>
  <c r="F294" i="25"/>
  <c r="E294" i="25"/>
  <c r="K293" i="25"/>
  <c r="F293" i="25"/>
  <c r="E293" i="25"/>
  <c r="K292" i="25"/>
  <c r="F292" i="25"/>
  <c r="E292" i="25"/>
  <c r="K291" i="25"/>
  <c r="F291" i="25"/>
  <c r="E291" i="25"/>
  <c r="K290" i="25"/>
  <c r="F290" i="25"/>
  <c r="E290" i="25"/>
  <c r="K289" i="25"/>
  <c r="F289" i="25"/>
  <c r="E289" i="25"/>
  <c r="K288" i="25"/>
  <c r="F288" i="25"/>
  <c r="E288" i="25"/>
  <c r="K287" i="25"/>
  <c r="F287" i="25"/>
  <c r="E287" i="25"/>
  <c r="K286" i="25"/>
  <c r="F286" i="25"/>
  <c r="E286" i="25"/>
  <c r="K285" i="25"/>
  <c r="F285" i="25"/>
  <c r="E285" i="25"/>
  <c r="K284" i="25"/>
  <c r="D284" i="25" s="1"/>
  <c r="F284" i="25"/>
  <c r="E284" i="25"/>
  <c r="C284" i="25"/>
  <c r="K283" i="25"/>
  <c r="F283" i="25"/>
  <c r="E283" i="25"/>
  <c r="K282" i="25"/>
  <c r="F282" i="25"/>
  <c r="E282" i="25"/>
  <c r="K281" i="25"/>
  <c r="F281" i="25"/>
  <c r="E281" i="25"/>
  <c r="K280" i="25"/>
  <c r="F280" i="25"/>
  <c r="E280" i="25"/>
  <c r="K279" i="25"/>
  <c r="F279" i="25"/>
  <c r="E279" i="25"/>
  <c r="K278" i="25"/>
  <c r="F278" i="25"/>
  <c r="E278" i="25"/>
  <c r="K277" i="25"/>
  <c r="F277" i="25"/>
  <c r="E277" i="25"/>
  <c r="K276" i="25"/>
  <c r="F276" i="25"/>
  <c r="E276" i="25"/>
  <c r="K275" i="25"/>
  <c r="F275" i="25"/>
  <c r="E275" i="25"/>
  <c r="K274" i="25"/>
  <c r="F274" i="25"/>
  <c r="E274" i="25"/>
  <c r="K273" i="25"/>
  <c r="F273" i="25"/>
  <c r="E273" i="25"/>
  <c r="K272" i="25"/>
  <c r="F272" i="25"/>
  <c r="E272" i="25"/>
  <c r="K271" i="25"/>
  <c r="F271" i="25"/>
  <c r="E271" i="25"/>
  <c r="K270" i="25"/>
  <c r="F270" i="25"/>
  <c r="E270" i="25"/>
  <c r="K269" i="25"/>
  <c r="F269" i="25"/>
  <c r="E269" i="25"/>
  <c r="K268" i="25"/>
  <c r="F268" i="25"/>
  <c r="E268" i="25"/>
  <c r="K267" i="25"/>
  <c r="F267" i="25"/>
  <c r="E267" i="25"/>
  <c r="K266" i="25"/>
  <c r="F266" i="25"/>
  <c r="E266" i="25"/>
  <c r="K265" i="25"/>
  <c r="F265" i="25"/>
  <c r="E265" i="25"/>
  <c r="K264" i="25"/>
  <c r="F264" i="25"/>
  <c r="E264" i="25"/>
  <c r="K263" i="25"/>
  <c r="F263" i="25"/>
  <c r="E263" i="25"/>
  <c r="K262" i="25"/>
  <c r="F262" i="25"/>
  <c r="E262" i="25"/>
  <c r="K261" i="25"/>
  <c r="F261" i="25"/>
  <c r="E261" i="25"/>
  <c r="K260" i="25"/>
  <c r="F260" i="25"/>
  <c r="E260" i="25"/>
  <c r="K259" i="25"/>
  <c r="F259" i="25"/>
  <c r="E259" i="25"/>
  <c r="K258" i="25"/>
  <c r="F258" i="25"/>
  <c r="E258" i="25"/>
  <c r="K257" i="25"/>
  <c r="F257" i="25"/>
  <c r="E257" i="25"/>
  <c r="K256" i="25"/>
  <c r="F256" i="25"/>
  <c r="E256" i="25"/>
  <c r="K255" i="25"/>
  <c r="F255" i="25"/>
  <c r="E255" i="25"/>
  <c r="K254" i="25"/>
  <c r="F254" i="25"/>
  <c r="E254" i="25"/>
  <c r="K253" i="25"/>
  <c r="F253" i="25"/>
  <c r="E253" i="25"/>
  <c r="K252" i="25"/>
  <c r="F252" i="25"/>
  <c r="E252" i="25"/>
  <c r="K251" i="25"/>
  <c r="F251" i="25"/>
  <c r="E251" i="25"/>
  <c r="K250" i="25"/>
  <c r="F250" i="25"/>
  <c r="E250" i="25"/>
  <c r="K249" i="25"/>
  <c r="F249" i="25"/>
  <c r="E249" i="25"/>
  <c r="K248" i="25"/>
  <c r="F248" i="25"/>
  <c r="E248" i="25"/>
  <c r="K247" i="25"/>
  <c r="F247" i="25"/>
  <c r="E247" i="25"/>
  <c r="K246" i="25"/>
  <c r="F246" i="25"/>
  <c r="E246" i="25"/>
  <c r="K245" i="25"/>
  <c r="F245" i="25"/>
  <c r="E245" i="25"/>
  <c r="K244" i="25"/>
  <c r="F244" i="25"/>
  <c r="E244" i="25"/>
  <c r="K243" i="25"/>
  <c r="F243" i="25"/>
  <c r="E243" i="25"/>
  <c r="K242" i="25"/>
  <c r="F242" i="25"/>
  <c r="E242" i="25"/>
  <c r="K241" i="25"/>
  <c r="F241" i="25"/>
  <c r="E241" i="25"/>
  <c r="K240" i="25"/>
  <c r="F240" i="25"/>
  <c r="E240" i="25"/>
  <c r="K239" i="25"/>
  <c r="F239" i="25"/>
  <c r="E239" i="25"/>
  <c r="K238" i="25"/>
  <c r="F238" i="25"/>
  <c r="E238" i="25"/>
  <c r="K237" i="25"/>
  <c r="F237" i="25"/>
  <c r="E237" i="25"/>
  <c r="K236" i="25"/>
  <c r="F236" i="25"/>
  <c r="E236" i="25"/>
  <c r="K235" i="25"/>
  <c r="F235" i="25"/>
  <c r="E235" i="25"/>
  <c r="K234" i="25"/>
  <c r="F234" i="25"/>
  <c r="E234" i="25"/>
  <c r="K233" i="25"/>
  <c r="F233" i="25"/>
  <c r="E233" i="25"/>
  <c r="K232" i="25"/>
  <c r="F232" i="25"/>
  <c r="E232" i="25"/>
  <c r="K231" i="25"/>
  <c r="F231" i="25"/>
  <c r="E231" i="25"/>
  <c r="K230" i="25"/>
  <c r="F230" i="25"/>
  <c r="E230" i="25"/>
  <c r="K229" i="25"/>
  <c r="F229" i="25"/>
  <c r="E229" i="25"/>
  <c r="K228" i="25"/>
  <c r="F228" i="25"/>
  <c r="E228" i="25"/>
  <c r="K227" i="25"/>
  <c r="F227" i="25"/>
  <c r="E227" i="25"/>
  <c r="K226" i="25"/>
  <c r="F226" i="25"/>
  <c r="E226" i="25"/>
  <c r="K225" i="25"/>
  <c r="F225" i="25"/>
  <c r="E225" i="25"/>
  <c r="K224" i="25"/>
  <c r="F224" i="25"/>
  <c r="E224" i="25"/>
  <c r="K223" i="25"/>
  <c r="F223" i="25"/>
  <c r="E223" i="25"/>
  <c r="K222" i="25"/>
  <c r="F222" i="25"/>
  <c r="E222" i="25"/>
  <c r="K221" i="25"/>
  <c r="F221" i="25"/>
  <c r="E221" i="25"/>
  <c r="K220" i="25"/>
  <c r="F220" i="25"/>
  <c r="E220" i="25"/>
  <c r="K219" i="25"/>
  <c r="F219" i="25"/>
  <c r="E219" i="25"/>
  <c r="K218" i="25"/>
  <c r="F218" i="25"/>
  <c r="E218" i="25"/>
  <c r="K217" i="25"/>
  <c r="F217" i="25"/>
  <c r="E217" i="25"/>
  <c r="K216" i="25"/>
  <c r="F216" i="25"/>
  <c r="E216" i="25"/>
  <c r="K215" i="25"/>
  <c r="F215" i="25"/>
  <c r="E215" i="25"/>
  <c r="K214" i="25"/>
  <c r="F214" i="25"/>
  <c r="E214" i="25"/>
  <c r="K213" i="25"/>
  <c r="F213" i="25"/>
  <c r="E213" i="25"/>
  <c r="K212" i="25"/>
  <c r="F212" i="25"/>
  <c r="E212" i="25"/>
  <c r="K211" i="25"/>
  <c r="F211" i="25"/>
  <c r="E211" i="25"/>
  <c r="K210" i="25"/>
  <c r="F210" i="25"/>
  <c r="E210" i="25"/>
  <c r="K209" i="25"/>
  <c r="F209" i="25"/>
  <c r="E209" i="25"/>
  <c r="K208" i="25"/>
  <c r="F208" i="25"/>
  <c r="E208" i="25"/>
  <c r="K207" i="25"/>
  <c r="F207" i="25"/>
  <c r="E207" i="25"/>
  <c r="K206" i="25"/>
  <c r="F206" i="25"/>
  <c r="E206" i="25"/>
  <c r="K205" i="25"/>
  <c r="F205" i="25"/>
  <c r="E205" i="25"/>
  <c r="K204" i="25"/>
  <c r="F204" i="25"/>
  <c r="E204" i="25"/>
  <c r="K203" i="25"/>
  <c r="F203" i="25"/>
  <c r="E203" i="25"/>
  <c r="K202" i="25"/>
  <c r="F202" i="25"/>
  <c r="E202" i="25"/>
  <c r="K201" i="25"/>
  <c r="F201" i="25"/>
  <c r="E201" i="25"/>
  <c r="K200" i="25"/>
  <c r="F200" i="25"/>
  <c r="E200" i="25"/>
  <c r="K199" i="25"/>
  <c r="F199" i="25"/>
  <c r="E199" i="25"/>
  <c r="K198" i="25"/>
  <c r="F198" i="25"/>
  <c r="E198" i="25"/>
  <c r="K197" i="25"/>
  <c r="F197" i="25"/>
  <c r="E197" i="25"/>
  <c r="K196" i="25"/>
  <c r="F196" i="25"/>
  <c r="E196" i="25"/>
  <c r="K195" i="25"/>
  <c r="F195" i="25"/>
  <c r="E195" i="25"/>
  <c r="K194" i="25"/>
  <c r="F194" i="25"/>
  <c r="E194" i="25"/>
  <c r="K193" i="25"/>
  <c r="F193" i="25"/>
  <c r="E193" i="25"/>
  <c r="K192" i="25"/>
  <c r="F192" i="25"/>
  <c r="E192" i="25"/>
  <c r="K191" i="25"/>
  <c r="F191" i="25"/>
  <c r="E191" i="25"/>
  <c r="K190" i="25"/>
  <c r="F190" i="25"/>
  <c r="E190" i="25"/>
  <c r="K189" i="25"/>
  <c r="F189" i="25"/>
  <c r="E189" i="25"/>
  <c r="K188" i="25"/>
  <c r="F188" i="25"/>
  <c r="E188" i="25"/>
  <c r="K187" i="25"/>
  <c r="F187" i="25"/>
  <c r="E187" i="25"/>
  <c r="K186" i="25"/>
  <c r="F186" i="25"/>
  <c r="E186" i="25"/>
  <c r="K185" i="25"/>
  <c r="F185" i="25"/>
  <c r="E185" i="25"/>
  <c r="K184" i="25"/>
  <c r="F184" i="25"/>
  <c r="E184" i="25"/>
  <c r="K183" i="25"/>
  <c r="F183" i="25"/>
  <c r="E183" i="25"/>
  <c r="K182" i="25"/>
  <c r="F182" i="25"/>
  <c r="E182" i="25"/>
  <c r="K181" i="25"/>
  <c r="F181" i="25"/>
  <c r="E181" i="25"/>
  <c r="K180" i="25"/>
  <c r="F180" i="25"/>
  <c r="E180" i="25"/>
  <c r="K179" i="25"/>
  <c r="F179" i="25"/>
  <c r="E179" i="25"/>
  <c r="K178" i="25"/>
  <c r="F178" i="25"/>
  <c r="E178" i="25"/>
  <c r="K177" i="25"/>
  <c r="F177" i="25"/>
  <c r="E177" i="25"/>
  <c r="K176" i="25"/>
  <c r="F176" i="25"/>
  <c r="E176" i="25"/>
  <c r="K175" i="25"/>
  <c r="F175" i="25"/>
  <c r="E175" i="25"/>
  <c r="K174" i="25"/>
  <c r="F174" i="25"/>
  <c r="E174" i="25"/>
  <c r="K173" i="25"/>
  <c r="F173" i="25"/>
  <c r="E173" i="25"/>
  <c r="K172" i="25"/>
  <c r="F172" i="25"/>
  <c r="E172" i="25"/>
  <c r="K171" i="25"/>
  <c r="F171" i="25"/>
  <c r="E171" i="25"/>
  <c r="K170" i="25"/>
  <c r="F170" i="25"/>
  <c r="E170" i="25"/>
  <c r="K169" i="25"/>
  <c r="F169" i="25"/>
  <c r="E169" i="25"/>
  <c r="K168" i="25"/>
  <c r="F168" i="25"/>
  <c r="E168" i="25"/>
  <c r="K167" i="25"/>
  <c r="F167" i="25"/>
  <c r="E167" i="25"/>
  <c r="K166" i="25"/>
  <c r="F166" i="25"/>
  <c r="E166" i="25"/>
  <c r="K165" i="25"/>
  <c r="F165" i="25"/>
  <c r="E165" i="25"/>
  <c r="K164" i="25"/>
  <c r="F164" i="25"/>
  <c r="E164" i="25"/>
  <c r="K163" i="25"/>
  <c r="F163" i="25"/>
  <c r="E163" i="25"/>
  <c r="K162" i="25"/>
  <c r="F162" i="25"/>
  <c r="E162" i="25"/>
  <c r="K161" i="25"/>
  <c r="F161" i="25"/>
  <c r="E161" i="25"/>
  <c r="K160" i="25"/>
  <c r="F160" i="25"/>
  <c r="E160" i="25"/>
  <c r="K159" i="25"/>
  <c r="F159" i="25"/>
  <c r="E159" i="25"/>
  <c r="K158" i="25"/>
  <c r="F158" i="25"/>
  <c r="E158" i="25"/>
  <c r="K157" i="25"/>
  <c r="F157" i="25"/>
  <c r="E157" i="25"/>
  <c r="K156" i="25"/>
  <c r="F156" i="25"/>
  <c r="E156" i="25"/>
  <c r="K155" i="25"/>
  <c r="F155" i="25"/>
  <c r="E155" i="25"/>
  <c r="K154" i="25"/>
  <c r="F154" i="25"/>
  <c r="E154" i="25"/>
  <c r="K153" i="25"/>
  <c r="F153" i="25"/>
  <c r="E153" i="25"/>
  <c r="K152" i="25"/>
  <c r="F152" i="25"/>
  <c r="E152" i="25"/>
  <c r="K151" i="25"/>
  <c r="F151" i="25"/>
  <c r="E151" i="25"/>
  <c r="K150" i="25"/>
  <c r="F150" i="25"/>
  <c r="E150" i="25"/>
  <c r="K149" i="25"/>
  <c r="F149" i="25"/>
  <c r="E149" i="25"/>
  <c r="K148" i="25"/>
  <c r="F148" i="25"/>
  <c r="E148" i="25"/>
  <c r="K147" i="25"/>
  <c r="F147" i="25"/>
  <c r="E147" i="25"/>
  <c r="K146" i="25"/>
  <c r="F146" i="25"/>
  <c r="E146" i="25"/>
  <c r="K145" i="25"/>
  <c r="F145" i="25"/>
  <c r="E145" i="25"/>
  <c r="K144" i="25"/>
  <c r="F144" i="25"/>
  <c r="E144" i="25"/>
  <c r="K143" i="25"/>
  <c r="F143" i="25"/>
  <c r="E143" i="25"/>
  <c r="K142" i="25"/>
  <c r="F142" i="25"/>
  <c r="E142" i="25"/>
  <c r="K141" i="25"/>
  <c r="F141" i="25"/>
  <c r="E141" i="25"/>
  <c r="K140" i="25"/>
  <c r="F140" i="25"/>
  <c r="E140" i="25"/>
  <c r="K139" i="25"/>
  <c r="F139" i="25"/>
  <c r="E139" i="25"/>
  <c r="K138" i="25"/>
  <c r="F138" i="25"/>
  <c r="E138" i="25"/>
  <c r="K137" i="25"/>
  <c r="F137" i="25"/>
  <c r="E137" i="25"/>
  <c r="K136" i="25"/>
  <c r="F136" i="25"/>
  <c r="E136" i="25"/>
  <c r="K135" i="25"/>
  <c r="F135" i="25"/>
  <c r="E135" i="25"/>
  <c r="K134" i="25"/>
  <c r="F134" i="25"/>
  <c r="E134" i="25"/>
  <c r="K133" i="25"/>
  <c r="F133" i="25"/>
  <c r="E133" i="25"/>
  <c r="K132" i="25"/>
  <c r="F132" i="25"/>
  <c r="E132" i="25"/>
  <c r="C132" i="25"/>
  <c r="K131" i="25"/>
  <c r="F131" i="25"/>
  <c r="E131" i="25"/>
  <c r="K130" i="25"/>
  <c r="F130" i="25"/>
  <c r="E130" i="25"/>
  <c r="K129" i="25"/>
  <c r="F129" i="25"/>
  <c r="E129" i="25"/>
  <c r="K128" i="25"/>
  <c r="F128" i="25"/>
  <c r="E128" i="25"/>
  <c r="K127" i="25"/>
  <c r="F127" i="25"/>
  <c r="E127" i="25"/>
  <c r="K126" i="25"/>
  <c r="F126" i="25"/>
  <c r="E126" i="25"/>
  <c r="K125" i="25"/>
  <c r="F125" i="25"/>
  <c r="E125" i="25"/>
  <c r="K124" i="25"/>
  <c r="F124" i="25"/>
  <c r="E124" i="25"/>
  <c r="K123" i="25"/>
  <c r="F123" i="25"/>
  <c r="E123" i="25"/>
  <c r="K122" i="25"/>
  <c r="F122" i="25"/>
  <c r="E122" i="25"/>
  <c r="K121" i="25"/>
  <c r="F121" i="25"/>
  <c r="E121" i="25"/>
  <c r="K120" i="25"/>
  <c r="F120" i="25"/>
  <c r="E120" i="25"/>
  <c r="K119" i="25"/>
  <c r="F119" i="25"/>
  <c r="E119" i="25"/>
  <c r="K118" i="25"/>
  <c r="F118" i="25"/>
  <c r="E118" i="25"/>
  <c r="K117" i="25"/>
  <c r="F117" i="25"/>
  <c r="E117" i="25"/>
  <c r="K116" i="25"/>
  <c r="F116" i="25"/>
  <c r="E116" i="25"/>
  <c r="K115" i="25"/>
  <c r="F115" i="25"/>
  <c r="E115" i="25"/>
  <c r="K114" i="25"/>
  <c r="F114" i="25"/>
  <c r="E114" i="25"/>
  <c r="K113" i="25"/>
  <c r="F113" i="25"/>
  <c r="E113" i="25"/>
  <c r="K112" i="25"/>
  <c r="F112" i="25"/>
  <c r="E112" i="25"/>
  <c r="K111" i="25"/>
  <c r="F111" i="25"/>
  <c r="E111" i="25"/>
  <c r="K110" i="25"/>
  <c r="F110" i="25"/>
  <c r="E110" i="25"/>
  <c r="K109" i="25"/>
  <c r="F109" i="25"/>
  <c r="E109" i="25"/>
  <c r="K108" i="25"/>
  <c r="F108" i="25"/>
  <c r="E108" i="25"/>
  <c r="K107" i="25"/>
  <c r="F107" i="25"/>
  <c r="E107" i="25"/>
  <c r="K106" i="25"/>
  <c r="F106" i="25"/>
  <c r="E106" i="25"/>
  <c r="K105" i="25"/>
  <c r="F105" i="25"/>
  <c r="E105" i="25"/>
  <c r="K104" i="25"/>
  <c r="F104" i="25"/>
  <c r="E104" i="25"/>
  <c r="K103" i="25"/>
  <c r="F103" i="25"/>
  <c r="E103" i="25"/>
  <c r="K102" i="25"/>
  <c r="F102" i="25"/>
  <c r="E102" i="25"/>
  <c r="K101" i="25"/>
  <c r="F101" i="25"/>
  <c r="E101" i="25"/>
  <c r="K100" i="25"/>
  <c r="F100" i="25"/>
  <c r="E100" i="25"/>
  <c r="K99" i="25"/>
  <c r="F99" i="25"/>
  <c r="E99" i="25"/>
  <c r="K98" i="25"/>
  <c r="F98" i="25"/>
  <c r="E98" i="25"/>
  <c r="K97" i="25"/>
  <c r="F97" i="25"/>
  <c r="E97" i="25"/>
  <c r="K96" i="25"/>
  <c r="F96" i="25"/>
  <c r="E96" i="25"/>
  <c r="K95" i="25"/>
  <c r="F95" i="25"/>
  <c r="E95" i="25"/>
  <c r="K94" i="25"/>
  <c r="F94" i="25"/>
  <c r="E94" i="25"/>
  <c r="K93" i="25"/>
  <c r="F93" i="25"/>
  <c r="E93" i="25"/>
  <c r="K92" i="25"/>
  <c r="F92" i="25"/>
  <c r="E92" i="25"/>
  <c r="K91" i="25"/>
  <c r="F91" i="25"/>
  <c r="E91" i="25"/>
  <c r="K90" i="25"/>
  <c r="F90" i="25"/>
  <c r="E90" i="25"/>
  <c r="K89" i="25"/>
  <c r="F89" i="25"/>
  <c r="E89" i="25"/>
  <c r="K88" i="25"/>
  <c r="F88" i="25"/>
  <c r="E88" i="25"/>
  <c r="K87" i="25"/>
  <c r="F87" i="25"/>
  <c r="E87" i="25"/>
  <c r="K86" i="25"/>
  <c r="F86" i="25"/>
  <c r="E86" i="25"/>
  <c r="K85" i="25"/>
  <c r="F85" i="25"/>
  <c r="E85" i="25"/>
  <c r="K84" i="25"/>
  <c r="F84" i="25"/>
  <c r="E84" i="25"/>
  <c r="K83" i="25"/>
  <c r="F83" i="25"/>
  <c r="E83" i="25"/>
  <c r="K82" i="25"/>
  <c r="F82" i="25"/>
  <c r="E82" i="25"/>
  <c r="K81" i="25"/>
  <c r="F81" i="25"/>
  <c r="E81" i="25"/>
  <c r="K80" i="25"/>
  <c r="F80" i="25"/>
  <c r="E80" i="25"/>
  <c r="K79" i="25"/>
  <c r="F79" i="25"/>
  <c r="E79" i="25"/>
  <c r="K78" i="25"/>
  <c r="F78" i="25"/>
  <c r="E78" i="25"/>
  <c r="K77" i="25"/>
  <c r="F77" i="25"/>
  <c r="E77" i="25"/>
  <c r="K76" i="25"/>
  <c r="F76" i="25"/>
  <c r="E76" i="25"/>
  <c r="K75" i="25"/>
  <c r="F75" i="25"/>
  <c r="E75" i="25"/>
  <c r="K74" i="25"/>
  <c r="F74" i="25"/>
  <c r="E74" i="25"/>
  <c r="K73" i="25"/>
  <c r="F73" i="25"/>
  <c r="E73" i="25"/>
  <c r="K72" i="25"/>
  <c r="F72" i="25"/>
  <c r="E72" i="25"/>
  <c r="K71" i="25"/>
  <c r="F71" i="25"/>
  <c r="E71" i="25"/>
  <c r="K70" i="25"/>
  <c r="F70" i="25"/>
  <c r="E70" i="25"/>
  <c r="K69" i="25"/>
  <c r="F69" i="25"/>
  <c r="E69" i="25"/>
  <c r="K68" i="25"/>
  <c r="F68" i="25"/>
  <c r="E68" i="25"/>
  <c r="K67" i="25"/>
  <c r="F67" i="25"/>
  <c r="E67" i="25"/>
  <c r="K66" i="25"/>
  <c r="F66" i="25"/>
  <c r="E66" i="25"/>
  <c r="K65" i="25"/>
  <c r="F65" i="25"/>
  <c r="E65" i="25"/>
  <c r="K64" i="25"/>
  <c r="F64" i="25"/>
  <c r="E64" i="25"/>
  <c r="K63" i="25"/>
  <c r="F63" i="25"/>
  <c r="E63" i="25"/>
  <c r="C63" i="25"/>
  <c r="K62" i="25"/>
  <c r="F62" i="25"/>
  <c r="E62" i="25"/>
  <c r="K61" i="25"/>
  <c r="F61" i="25"/>
  <c r="E61" i="25"/>
  <c r="K60" i="25"/>
  <c r="F60" i="25"/>
  <c r="E60" i="25"/>
  <c r="K59" i="25"/>
  <c r="F59" i="25"/>
  <c r="E59" i="25"/>
  <c r="K58" i="25"/>
  <c r="F58" i="25"/>
  <c r="E58" i="25"/>
  <c r="K57" i="25"/>
  <c r="F57" i="25"/>
  <c r="E57" i="25"/>
  <c r="K56" i="25"/>
  <c r="F56" i="25"/>
  <c r="E56" i="25"/>
  <c r="K55" i="25"/>
  <c r="F55" i="25"/>
  <c r="E55" i="25"/>
  <c r="K54" i="25"/>
  <c r="F54" i="25"/>
  <c r="E54" i="25"/>
  <c r="K53" i="25"/>
  <c r="F53" i="25"/>
  <c r="E53" i="25"/>
  <c r="K52" i="25"/>
  <c r="F52" i="25"/>
  <c r="E52" i="25"/>
  <c r="K51" i="25"/>
  <c r="F51" i="25"/>
  <c r="E51" i="25"/>
  <c r="K50" i="25"/>
  <c r="F50" i="25"/>
  <c r="E50" i="25"/>
  <c r="K49" i="25"/>
  <c r="F49" i="25"/>
  <c r="E49" i="25"/>
  <c r="K48" i="25"/>
  <c r="F48" i="25"/>
  <c r="E48" i="25"/>
  <c r="K47" i="25"/>
  <c r="F47" i="25"/>
  <c r="E47" i="25"/>
  <c r="K46" i="25"/>
  <c r="F46" i="25"/>
  <c r="E46" i="25"/>
  <c r="K45" i="25"/>
  <c r="F45" i="25"/>
  <c r="E45" i="25"/>
  <c r="K44" i="25"/>
  <c r="F44" i="25"/>
  <c r="E44" i="25"/>
  <c r="K43" i="25"/>
  <c r="F43" i="25"/>
  <c r="E43" i="25"/>
  <c r="K42" i="25"/>
  <c r="F42" i="25"/>
  <c r="E42" i="25"/>
  <c r="K41" i="25"/>
  <c r="F41" i="25"/>
  <c r="E41" i="25"/>
  <c r="K40" i="25"/>
  <c r="F40" i="25"/>
  <c r="E40" i="25"/>
  <c r="K39" i="25"/>
  <c r="F39" i="25"/>
  <c r="E39" i="25"/>
  <c r="K38" i="25"/>
  <c r="F38" i="25"/>
  <c r="E38" i="25"/>
  <c r="K37" i="25"/>
  <c r="F37" i="25"/>
  <c r="E37" i="25"/>
  <c r="K36" i="25"/>
  <c r="F36" i="25"/>
  <c r="E36" i="25"/>
  <c r="K35" i="25"/>
  <c r="F35" i="25"/>
  <c r="E35" i="25"/>
  <c r="K34" i="25"/>
  <c r="F34" i="25"/>
  <c r="E34" i="25"/>
  <c r="K33" i="25"/>
  <c r="F33" i="25"/>
  <c r="E33" i="25"/>
  <c r="K32" i="25"/>
  <c r="F32" i="25"/>
  <c r="E32" i="25"/>
  <c r="K31" i="25"/>
  <c r="F31" i="25"/>
  <c r="E31" i="25"/>
  <c r="K30" i="25"/>
  <c r="F30" i="25"/>
  <c r="E30" i="25"/>
  <c r="K29" i="25"/>
  <c r="F29" i="25"/>
  <c r="E29" i="25"/>
  <c r="K28" i="25"/>
  <c r="F28" i="25"/>
  <c r="E28" i="25"/>
  <c r="K27" i="25"/>
  <c r="F27" i="25"/>
  <c r="E27" i="25"/>
  <c r="K26" i="25"/>
  <c r="F26" i="25"/>
  <c r="E26" i="25"/>
  <c r="K25" i="25"/>
  <c r="F25" i="25"/>
  <c r="E25" i="25"/>
  <c r="K24" i="25"/>
  <c r="F24" i="25"/>
  <c r="E24" i="25"/>
  <c r="K23" i="25"/>
  <c r="F23" i="25"/>
  <c r="E23" i="25"/>
  <c r="K22" i="25"/>
  <c r="F22" i="25"/>
  <c r="E22" i="25"/>
  <c r="K21" i="25"/>
  <c r="F21" i="25"/>
  <c r="E21" i="25"/>
  <c r="K20" i="25"/>
  <c r="F20" i="25"/>
  <c r="E20" i="25"/>
  <c r="K19" i="25"/>
  <c r="F19" i="25"/>
  <c r="E19" i="25"/>
  <c r="K18" i="25"/>
  <c r="F18" i="25"/>
  <c r="E18" i="25"/>
  <c r="K17" i="25"/>
  <c r="F17" i="25"/>
  <c r="E17" i="25"/>
  <c r="K16" i="25"/>
  <c r="F16" i="25"/>
  <c r="E16" i="25"/>
  <c r="K15" i="25"/>
  <c r="F15" i="25"/>
  <c r="E15" i="25"/>
  <c r="K14" i="25"/>
  <c r="F14" i="25"/>
  <c r="E14" i="25"/>
  <c r="K13" i="25"/>
  <c r="F13" i="25"/>
  <c r="E13" i="25"/>
  <c r="K12" i="25"/>
  <c r="F12" i="25"/>
  <c r="E12" i="25"/>
  <c r="K11" i="25"/>
  <c r="F11" i="25"/>
  <c r="E11" i="25"/>
  <c r="K10" i="25"/>
  <c r="F10" i="25"/>
  <c r="E10" i="25"/>
  <c r="K9" i="25"/>
  <c r="F9" i="25"/>
  <c r="E9" i="25"/>
  <c r="K8" i="25"/>
  <c r="F8" i="25"/>
  <c r="E8" i="25"/>
  <c r="K7" i="25"/>
  <c r="F7" i="25"/>
  <c r="E7" i="25"/>
  <c r="K6" i="25"/>
  <c r="F6" i="25"/>
  <c r="E6" i="25"/>
  <c r="K5" i="25"/>
  <c r="F5" i="25"/>
  <c r="E5" i="25"/>
  <c r="K4" i="25"/>
  <c r="F4" i="25"/>
  <c r="E4" i="25"/>
  <c r="K3" i="25"/>
  <c r="F3" i="25"/>
  <c r="E3" i="25"/>
  <c r="C3" i="25" s="1"/>
  <c r="K2" i="25"/>
  <c r="F2" i="25"/>
  <c r="E2" i="25"/>
  <c r="C2" i="25" s="1"/>
  <c r="D2" i="25"/>
  <c r="D2" i="41" l="1"/>
  <c r="D344" i="40"/>
  <c r="D215" i="40"/>
  <c r="D3" i="40"/>
  <c r="D63" i="40"/>
  <c r="D64" i="40"/>
  <c r="C66" i="40"/>
  <c r="C67" i="40" s="1"/>
  <c r="D67" i="40" s="1"/>
  <c r="C65" i="40"/>
  <c r="D65" i="40" s="1"/>
  <c r="C4" i="40"/>
  <c r="C5" i="40" s="1"/>
  <c r="D5" i="40" s="1"/>
  <c r="C10" i="40"/>
  <c r="C11" i="40" s="1"/>
  <c r="D11" i="40" s="1"/>
  <c r="C133" i="40"/>
  <c r="C134" i="40" s="1"/>
  <c r="C135" i="40" s="1"/>
  <c r="C136" i="40" s="1"/>
  <c r="C137" i="40" s="1"/>
  <c r="C132" i="40"/>
  <c r="D132" i="40" s="1"/>
  <c r="C285" i="40"/>
  <c r="C286" i="40" s="1"/>
  <c r="D286" i="40" s="1"/>
  <c r="D287" i="40" s="1"/>
  <c r="D288" i="40" s="1"/>
  <c r="C284" i="40"/>
  <c r="D284" i="40" s="1"/>
  <c r="C287" i="40"/>
  <c r="C288" i="40" s="1"/>
  <c r="C289" i="40" s="1"/>
  <c r="D214" i="40"/>
  <c r="C216" i="40"/>
  <c r="C344" i="40"/>
  <c r="C345" i="40" s="1"/>
  <c r="D345" i="40" s="1"/>
  <c r="C392" i="40"/>
  <c r="AM195" i="31"/>
  <c r="T235" i="31"/>
  <c r="AM194" i="31"/>
  <c r="Q206" i="31"/>
  <c r="AL195" i="31"/>
  <c r="AL196" i="31"/>
  <c r="L234" i="31"/>
  <c r="AR197" i="31"/>
  <c r="X184" i="31" s="1"/>
  <c r="AI195" i="31"/>
  <c r="D206" i="31"/>
  <c r="AH195" i="31"/>
  <c r="AM110" i="31"/>
  <c r="AM109" i="31"/>
  <c r="AR109" i="31" s="1"/>
  <c r="X93" i="31" s="1"/>
  <c r="AG135" i="31"/>
  <c r="M101" i="31" s="1"/>
  <c r="AG153" i="31"/>
  <c r="Q152" i="31"/>
  <c r="AL111" i="31"/>
  <c r="AR111" i="31" s="1"/>
  <c r="X97" i="31" s="1"/>
  <c r="AL112" i="31"/>
  <c r="AH110" i="31"/>
  <c r="AG147" i="31"/>
  <c r="AA101" i="31" s="1"/>
  <c r="Q36" i="31"/>
  <c r="N36" i="31"/>
  <c r="AK26" i="31"/>
  <c r="N39" i="31"/>
  <c r="L44" i="31" s="1"/>
  <c r="N60" i="31" s="1"/>
  <c r="J67" i="31"/>
  <c r="I71" i="31" s="1"/>
  <c r="AI24" i="31"/>
  <c r="D36" i="31"/>
  <c r="N235" i="31"/>
  <c r="Z238" i="31"/>
  <c r="AJ194" i="31"/>
  <c r="AA207" i="31"/>
  <c r="AR198" i="31"/>
  <c r="X186" i="31" s="1"/>
  <c r="AR113" i="31"/>
  <c r="X101" i="31" s="1"/>
  <c r="B129" i="31"/>
  <c r="D145" i="31" s="1"/>
  <c r="AA129" i="31"/>
  <c r="AG141" i="31"/>
  <c r="AH135" i="31" s="1"/>
  <c r="S101" i="31" s="1"/>
  <c r="AG161" i="31"/>
  <c r="AD101" i="31" s="1"/>
  <c r="U129" i="31"/>
  <c r="AB156" i="31"/>
  <c r="AI112" i="31"/>
  <c r="Y71" i="31"/>
  <c r="AH26" i="31"/>
  <c r="AL27" i="31"/>
  <c r="AM25" i="31"/>
  <c r="AR25" i="31" s="1"/>
  <c r="X10" i="31" s="1"/>
  <c r="G67" i="31"/>
  <c r="F71" i="31" s="1"/>
  <c r="T65" i="31"/>
  <c r="S71" i="31" s="1"/>
  <c r="AF36" i="31"/>
  <c r="AD37" i="31" s="1"/>
  <c r="V71" i="31"/>
  <c r="AJ27" i="31"/>
  <c r="AG50" i="31"/>
  <c r="M16" i="31" s="1"/>
  <c r="AG56" i="31"/>
  <c r="AG68" i="31"/>
  <c r="AR28" i="31"/>
  <c r="X16" i="31" s="1"/>
  <c r="AK24" i="31"/>
  <c r="AG62" i="31"/>
  <c r="AA16" i="31" s="1"/>
  <c r="AB71" i="31"/>
  <c r="AG76" i="31"/>
  <c r="AD16" i="31" s="1"/>
  <c r="AL26" i="31"/>
  <c r="U44" i="31"/>
  <c r="AE71" i="31"/>
  <c r="AM194" i="30"/>
  <c r="AL196" i="30"/>
  <c r="M241" i="30"/>
  <c r="AJ194" i="30"/>
  <c r="AH195" i="30"/>
  <c r="AR195" i="30" s="1"/>
  <c r="X180" i="30" s="1"/>
  <c r="AH194" i="30"/>
  <c r="AM110" i="30"/>
  <c r="AR110" i="30" s="1"/>
  <c r="X95" i="30" s="1"/>
  <c r="AG135" i="30"/>
  <c r="M101" i="30" s="1"/>
  <c r="AG141" i="30"/>
  <c r="AK109" i="30"/>
  <c r="N124" i="30"/>
  <c r="L129" i="30" s="1"/>
  <c r="AG147" i="30"/>
  <c r="AA101" i="30" s="1"/>
  <c r="F156" i="30"/>
  <c r="AI109" i="30"/>
  <c r="AG153" i="30"/>
  <c r="AG161" i="30"/>
  <c r="AD101" i="30" s="1"/>
  <c r="AM24" i="30"/>
  <c r="AR24" i="30" s="1"/>
  <c r="X8" i="30" s="1"/>
  <c r="R39" i="30"/>
  <c r="AL26" i="30"/>
  <c r="AK24" i="30"/>
  <c r="AG50" i="30"/>
  <c r="M16" i="30" s="1"/>
  <c r="AI196" i="30"/>
  <c r="AM196" i="30"/>
  <c r="AR198" i="30"/>
  <c r="X186" i="30" s="1"/>
  <c r="AR197" i="30"/>
  <c r="X184" i="30" s="1"/>
  <c r="AJ110" i="30"/>
  <c r="W266" i="30"/>
  <c r="AR113" i="30"/>
  <c r="X101" i="30" s="1"/>
  <c r="D121" i="30"/>
  <c r="Q121" i="30"/>
  <c r="AC121" i="30"/>
  <c r="Y156" i="30"/>
  <c r="AK111" i="30"/>
  <c r="AL111" i="30"/>
  <c r="AR111" i="30" s="1"/>
  <c r="X97" i="30" s="1"/>
  <c r="AE71" i="30"/>
  <c r="AR28" i="30"/>
  <c r="X16" i="30" s="1"/>
  <c r="O66" i="30"/>
  <c r="AG66" i="30" s="1"/>
  <c r="AA44" i="30"/>
  <c r="D66" i="30"/>
  <c r="Q67" i="30"/>
  <c r="P71" i="30" s="1"/>
  <c r="AC36" i="30"/>
  <c r="Y71" i="30"/>
  <c r="AD36" i="30"/>
  <c r="AG56" i="30"/>
  <c r="AG62" i="30"/>
  <c r="AA16" i="30" s="1"/>
  <c r="AG68" i="30"/>
  <c r="G67" i="30"/>
  <c r="AB71" i="30"/>
  <c r="AH25" i="30"/>
  <c r="AL27" i="30"/>
  <c r="U37" i="30"/>
  <c r="V37" i="30" s="1"/>
  <c r="C83" i="31"/>
  <c r="D83" i="31" s="1"/>
  <c r="G83" i="31" s="1"/>
  <c r="J83" i="31" s="1"/>
  <c r="N83" i="31" s="1"/>
  <c r="Q83" i="31" s="1"/>
  <c r="T83" i="31" s="1"/>
  <c r="W83" i="31" s="1"/>
  <c r="Z83" i="31" s="1"/>
  <c r="AC83" i="31" s="1"/>
  <c r="AF83" i="31" s="1"/>
  <c r="AU83" i="31" s="1"/>
  <c r="AT83" i="31"/>
  <c r="X44" i="31"/>
  <c r="AT81" i="31"/>
  <c r="AT79" i="31"/>
  <c r="AT82" i="31"/>
  <c r="AF37" i="31"/>
  <c r="AD86" i="31"/>
  <c r="AD87" i="31" s="1"/>
  <c r="AT80" i="31"/>
  <c r="G36" i="31"/>
  <c r="T36" i="31"/>
  <c r="D39" i="31"/>
  <c r="B44" i="31" s="1"/>
  <c r="Q39" i="31"/>
  <c r="O44" i="31" s="1"/>
  <c r="AC39" i="31"/>
  <c r="AA44" i="31" s="1"/>
  <c r="N66" i="31"/>
  <c r="Q67" i="31"/>
  <c r="AG67" i="31" s="1"/>
  <c r="H36" i="31"/>
  <c r="U36" i="31"/>
  <c r="E39" i="31"/>
  <c r="E44" i="31" s="1"/>
  <c r="R39" i="31"/>
  <c r="R44" i="31" s="1"/>
  <c r="AD39" i="31"/>
  <c r="AD44" i="31" s="1"/>
  <c r="O66" i="31"/>
  <c r="J36" i="31"/>
  <c r="W36" i="31"/>
  <c r="D66" i="31"/>
  <c r="N151" i="31"/>
  <c r="N124" i="31"/>
  <c r="L129" i="31" s="1"/>
  <c r="N121" i="31"/>
  <c r="Z124" i="31"/>
  <c r="X129" i="31" s="1"/>
  <c r="Z121" i="31"/>
  <c r="L36" i="31"/>
  <c r="X36" i="31"/>
  <c r="X37" i="31" s="1"/>
  <c r="H39" i="31"/>
  <c r="L64" i="31"/>
  <c r="B65" i="31"/>
  <c r="AF86" i="31"/>
  <c r="AF87" i="31" s="1"/>
  <c r="C168" i="31"/>
  <c r="D168" i="31" s="1"/>
  <c r="G168" i="31" s="1"/>
  <c r="J168" i="31" s="1"/>
  <c r="N168" i="31" s="1"/>
  <c r="Q168" i="31" s="1"/>
  <c r="T168" i="31" s="1"/>
  <c r="W168" i="31" s="1"/>
  <c r="Z168" i="31" s="1"/>
  <c r="AC168" i="31" s="1"/>
  <c r="AF168" i="31" s="1"/>
  <c r="AU168" i="31" s="1"/>
  <c r="AT168" i="31"/>
  <c r="B144" i="31"/>
  <c r="J39" i="31"/>
  <c r="AT167" i="31"/>
  <c r="I156" i="31"/>
  <c r="B36" i="31"/>
  <c r="O36" i="31"/>
  <c r="AA36" i="31"/>
  <c r="AC86" i="31" s="1"/>
  <c r="AC87" i="31" s="1"/>
  <c r="U86" i="31"/>
  <c r="AT166" i="31"/>
  <c r="AA218" i="31"/>
  <c r="AB207" i="31"/>
  <c r="AT165" i="31"/>
  <c r="G121" i="31"/>
  <c r="G152" i="31"/>
  <c r="F156" i="31" s="1"/>
  <c r="G124" i="31"/>
  <c r="T121" i="31"/>
  <c r="T150" i="31"/>
  <c r="S156" i="31" s="1"/>
  <c r="T124" i="31"/>
  <c r="AF121" i="31"/>
  <c r="AF122" i="31" s="1"/>
  <c r="AF124" i="31"/>
  <c r="E36" i="31"/>
  <c r="R36" i="31"/>
  <c r="AT164" i="31"/>
  <c r="H121" i="31"/>
  <c r="U121" i="31"/>
  <c r="E124" i="31"/>
  <c r="E129" i="31" s="1"/>
  <c r="R124" i="31"/>
  <c r="AD124" i="31"/>
  <c r="AD129" i="31" s="1"/>
  <c r="O151" i="31"/>
  <c r="S241" i="31"/>
  <c r="T243" i="31" s="1"/>
  <c r="AE241" i="31"/>
  <c r="L206" i="31"/>
  <c r="X206" i="31"/>
  <c r="L209" i="31"/>
  <c r="Z209" i="31"/>
  <c r="X214" i="31" s="1"/>
  <c r="J121" i="31"/>
  <c r="W121" i="31"/>
  <c r="W122" i="31" s="1"/>
  <c r="D151" i="31"/>
  <c r="N206" i="31"/>
  <c r="Z206" i="31"/>
  <c r="N209" i="31"/>
  <c r="AG238" i="31"/>
  <c r="B319" i="31"/>
  <c r="A290" i="31"/>
  <c r="L121" i="31"/>
  <c r="X121" i="31"/>
  <c r="X122" i="31" s="1"/>
  <c r="H124" i="31"/>
  <c r="L149" i="31"/>
  <c r="M156" i="31" s="1"/>
  <c r="B150" i="31"/>
  <c r="AF171" i="31"/>
  <c r="AI196" i="31"/>
  <c r="AR196" i="31" s="1"/>
  <c r="X182" i="31" s="1"/>
  <c r="B206" i="31"/>
  <c r="O206" i="31"/>
  <c r="O209" i="31"/>
  <c r="AF209" i="31"/>
  <c r="AD214" i="31" s="1"/>
  <c r="B368" i="31"/>
  <c r="A343" i="31"/>
  <c r="J124" i="31"/>
  <c r="J236" i="31"/>
  <c r="W236" i="31"/>
  <c r="B209" i="31"/>
  <c r="R209" i="31"/>
  <c r="H357" i="31"/>
  <c r="D371" i="31"/>
  <c r="D372" i="31" s="1"/>
  <c r="B371" i="31"/>
  <c r="B121" i="31"/>
  <c r="O121" i="31"/>
  <c r="AA121" i="31"/>
  <c r="AT249" i="31"/>
  <c r="AT250" i="31"/>
  <c r="AT251" i="31"/>
  <c r="C252" i="31"/>
  <c r="D252" i="31" s="1"/>
  <c r="G252" i="31" s="1"/>
  <c r="J252" i="31" s="1"/>
  <c r="N252" i="31" s="1"/>
  <c r="Q252" i="31" s="1"/>
  <c r="T252" i="31" s="1"/>
  <c r="W252" i="31" s="1"/>
  <c r="Z252" i="31" s="1"/>
  <c r="AC255" i="31" s="1"/>
  <c r="AT252" i="31"/>
  <c r="AT253" i="31"/>
  <c r="C253" i="31"/>
  <c r="D253" i="31" s="1"/>
  <c r="G253" i="31" s="1"/>
  <c r="J253" i="31" s="1"/>
  <c r="N253" i="31" s="1"/>
  <c r="Q253" i="31" s="1"/>
  <c r="T253" i="31" s="1"/>
  <c r="W253" i="31" s="1"/>
  <c r="Z255" i="31" s="1"/>
  <c r="M241" i="31"/>
  <c r="N244" i="31" s="1"/>
  <c r="Y241" i="31"/>
  <c r="E206" i="31"/>
  <c r="R206" i="31"/>
  <c r="AD206" i="31"/>
  <c r="AD207" i="31" s="1"/>
  <c r="E209" i="31"/>
  <c r="T209" i="31"/>
  <c r="AG219" i="31"/>
  <c r="M184" i="31" s="1"/>
  <c r="V241" i="31"/>
  <c r="Z323" i="31"/>
  <c r="X323" i="31"/>
  <c r="AD309" i="31"/>
  <c r="E323" i="31"/>
  <c r="G323" i="31"/>
  <c r="J309" i="31"/>
  <c r="AD323" i="31"/>
  <c r="AF323" i="31"/>
  <c r="D121" i="31"/>
  <c r="Q121" i="31"/>
  <c r="AC121" i="31"/>
  <c r="G206" i="31"/>
  <c r="G207" i="31" s="1"/>
  <c r="G218" i="31" s="1"/>
  <c r="T206" i="31"/>
  <c r="AF206" i="31"/>
  <c r="G209" i="31"/>
  <c r="U209" i="31"/>
  <c r="F241" i="31"/>
  <c r="B318" i="31"/>
  <c r="A281" i="31"/>
  <c r="B320" i="31"/>
  <c r="A295" i="31"/>
  <c r="A284" i="31"/>
  <c r="G371" i="31"/>
  <c r="E371" i="31"/>
  <c r="J357" i="31"/>
  <c r="E121" i="31"/>
  <c r="E122" i="31" s="1"/>
  <c r="R121" i="31"/>
  <c r="AG234" i="31"/>
  <c r="AA236" i="31"/>
  <c r="AA209" i="31"/>
  <c r="H206" i="31"/>
  <c r="U206" i="31"/>
  <c r="U207" i="31" s="1"/>
  <c r="H209" i="31"/>
  <c r="W209" i="31"/>
  <c r="A338" i="31"/>
  <c r="B367" i="31"/>
  <c r="H309" i="31"/>
  <c r="D323" i="31"/>
  <c r="B323" i="31"/>
  <c r="AC323" i="31"/>
  <c r="AA323" i="31"/>
  <c r="AF309" i="31"/>
  <c r="J323" i="31"/>
  <c r="H323" i="31"/>
  <c r="Q124" i="31"/>
  <c r="O129" i="31" s="1"/>
  <c r="D209" i="31"/>
  <c r="D235" i="31"/>
  <c r="AG235" i="31" s="1"/>
  <c r="Q236" i="31"/>
  <c r="P241" i="31" s="1"/>
  <c r="Q209" i="31"/>
  <c r="AC237" i="31"/>
  <c r="AG237" i="31" s="1"/>
  <c r="AC209" i="31"/>
  <c r="J206" i="31"/>
  <c r="W206" i="31"/>
  <c r="J209" i="31"/>
  <c r="AB241" i="31"/>
  <c r="J371" i="31"/>
  <c r="H371" i="31"/>
  <c r="K362" i="31"/>
  <c r="J337" i="31" s="1"/>
  <c r="J37" i="30"/>
  <c r="J49" i="30" s="1"/>
  <c r="W37" i="30"/>
  <c r="R44" i="30"/>
  <c r="AT80" i="30"/>
  <c r="C80" i="30"/>
  <c r="B85" i="30" s="1"/>
  <c r="X44" i="30"/>
  <c r="U86" i="30"/>
  <c r="U87" i="30" s="1"/>
  <c r="AD44" i="30"/>
  <c r="W86" i="30"/>
  <c r="W87" i="30" s="1"/>
  <c r="AT81" i="30"/>
  <c r="C81" i="30"/>
  <c r="D85" i="30" s="1"/>
  <c r="AR26" i="30"/>
  <c r="X12" i="30" s="1"/>
  <c r="AT79" i="30"/>
  <c r="C79" i="30"/>
  <c r="D79" i="30" s="1"/>
  <c r="E85" i="30" s="1"/>
  <c r="C82" i="30"/>
  <c r="D82" i="30" s="1"/>
  <c r="G85" i="30" s="1"/>
  <c r="AT82" i="30"/>
  <c r="AM25" i="30"/>
  <c r="AR25" i="30" s="1"/>
  <c r="X10" i="30" s="1"/>
  <c r="AI27" i="30"/>
  <c r="L36" i="30"/>
  <c r="X36" i="30"/>
  <c r="H39" i="30"/>
  <c r="U39" i="30"/>
  <c r="L64" i="30"/>
  <c r="M71" i="30" s="1"/>
  <c r="B65" i="30"/>
  <c r="C71" i="30"/>
  <c r="C164" i="30"/>
  <c r="D164" i="30" s="1"/>
  <c r="E170" i="30" s="1"/>
  <c r="AT164" i="30"/>
  <c r="C168" i="30"/>
  <c r="D168" i="30" s="1"/>
  <c r="G168" i="30" s="1"/>
  <c r="J168" i="30" s="1"/>
  <c r="N168" i="30" s="1"/>
  <c r="Q168" i="30" s="1"/>
  <c r="T168" i="30" s="1"/>
  <c r="W168" i="30" s="1"/>
  <c r="Z168" i="30" s="1"/>
  <c r="AC168" i="30" s="1"/>
  <c r="AF168" i="30" s="1"/>
  <c r="AU168" i="30" s="1"/>
  <c r="AT168" i="30"/>
  <c r="N36" i="30"/>
  <c r="Z36" i="30"/>
  <c r="J39" i="30"/>
  <c r="W39" i="30"/>
  <c r="J67" i="30"/>
  <c r="I156" i="30"/>
  <c r="B36" i="30"/>
  <c r="O36" i="30"/>
  <c r="AA36" i="30"/>
  <c r="AA37" i="30" s="1"/>
  <c r="AG76" i="30"/>
  <c r="C83" i="30"/>
  <c r="D83" i="30" s="1"/>
  <c r="G83" i="30" s="1"/>
  <c r="J83" i="30" s="1"/>
  <c r="N83" i="30" s="1"/>
  <c r="Q83" i="30" s="1"/>
  <c r="T83" i="30" s="1"/>
  <c r="W83" i="30" s="1"/>
  <c r="Z83" i="30" s="1"/>
  <c r="AC83" i="30" s="1"/>
  <c r="AF83" i="30" s="1"/>
  <c r="AU83" i="30" s="1"/>
  <c r="AT167" i="30"/>
  <c r="C167" i="30"/>
  <c r="D167" i="30" s="1"/>
  <c r="G170" i="30" s="1"/>
  <c r="G160" i="30"/>
  <c r="E157" i="30"/>
  <c r="R157" i="30"/>
  <c r="T158" i="30"/>
  <c r="D36" i="30"/>
  <c r="D37" i="30" s="1"/>
  <c r="D48" i="30" s="1"/>
  <c r="Q36" i="30"/>
  <c r="N39" i="30"/>
  <c r="L44" i="30" s="1"/>
  <c r="T65" i="30"/>
  <c r="S71" i="30" s="1"/>
  <c r="AF122" i="30"/>
  <c r="AE122" i="30" s="1"/>
  <c r="E36" i="30"/>
  <c r="E37" i="30" s="1"/>
  <c r="R36" i="30"/>
  <c r="O39" i="30"/>
  <c r="O44" i="30" s="1"/>
  <c r="E64" i="30"/>
  <c r="F71" i="30" s="1"/>
  <c r="H65" i="30"/>
  <c r="AT166" i="30"/>
  <c r="C166" i="30"/>
  <c r="D170" i="30" s="1"/>
  <c r="AR112" i="30"/>
  <c r="X99" i="30" s="1"/>
  <c r="U129" i="30"/>
  <c r="G36" i="30"/>
  <c r="T36" i="30"/>
  <c r="AF36" i="30"/>
  <c r="AF86" i="30" s="1"/>
  <c r="D39" i="30"/>
  <c r="B44" i="30" s="1"/>
  <c r="C165" i="30"/>
  <c r="B170" i="30" s="1"/>
  <c r="AT165" i="30"/>
  <c r="X129" i="30"/>
  <c r="G39" i="30"/>
  <c r="E44" i="30" s="1"/>
  <c r="X86" i="30"/>
  <c r="X87" i="30" s="1"/>
  <c r="G121" i="30"/>
  <c r="T121" i="30"/>
  <c r="D124" i="30"/>
  <c r="B129" i="30" s="1"/>
  <c r="Q124" i="30"/>
  <c r="O129" i="30" s="1"/>
  <c r="AC124" i="30"/>
  <c r="AA129" i="30" s="1"/>
  <c r="N151" i="30"/>
  <c r="Q152" i="30"/>
  <c r="AG152" i="30" s="1"/>
  <c r="D209" i="30"/>
  <c r="D235" i="30"/>
  <c r="AG235" i="30" s="1"/>
  <c r="Q236" i="30"/>
  <c r="P241" i="30" s="1"/>
  <c r="Q209" i="30"/>
  <c r="AC237" i="30"/>
  <c r="AG237" i="30" s="1"/>
  <c r="AC209" i="30"/>
  <c r="J206" i="30"/>
  <c r="W206" i="30"/>
  <c r="H209" i="30"/>
  <c r="H214" i="30" s="1"/>
  <c r="J371" i="30"/>
  <c r="H371" i="30"/>
  <c r="H121" i="30"/>
  <c r="U121" i="30"/>
  <c r="E124" i="30"/>
  <c r="R124" i="30"/>
  <c r="AD124" i="30"/>
  <c r="AD129" i="30" s="1"/>
  <c r="O151" i="30"/>
  <c r="P156" i="30" s="1"/>
  <c r="T244" i="30"/>
  <c r="R242" i="30"/>
  <c r="AE241" i="30"/>
  <c r="L206" i="30"/>
  <c r="X206" i="30"/>
  <c r="X209" i="30"/>
  <c r="X214" i="30" s="1"/>
  <c r="E323" i="30"/>
  <c r="G323" i="30"/>
  <c r="J309" i="30"/>
  <c r="AD323" i="30"/>
  <c r="AF323" i="30"/>
  <c r="J121" i="30"/>
  <c r="W121" i="30"/>
  <c r="W122" i="30" s="1"/>
  <c r="G124" i="30"/>
  <c r="T124" i="30"/>
  <c r="D151" i="30"/>
  <c r="AD171" i="30"/>
  <c r="AD172" i="30" s="1"/>
  <c r="N206" i="30"/>
  <c r="Z206" i="30"/>
  <c r="L209" i="30"/>
  <c r="Z209" i="30"/>
  <c r="AG238" i="30"/>
  <c r="B319" i="30"/>
  <c r="A290" i="30"/>
  <c r="L121" i="30"/>
  <c r="X121" i="30"/>
  <c r="X122" i="30" s="1"/>
  <c r="H124" i="30"/>
  <c r="L149" i="30"/>
  <c r="B150" i="30"/>
  <c r="AG150" i="30" s="1"/>
  <c r="AF171" i="30"/>
  <c r="AF172" i="30" s="1"/>
  <c r="B206" i="30"/>
  <c r="O206" i="30"/>
  <c r="N209" i="30"/>
  <c r="AD209" i="30"/>
  <c r="B368" i="30"/>
  <c r="A343" i="30"/>
  <c r="J323" i="30"/>
  <c r="H323" i="30"/>
  <c r="J124" i="30"/>
  <c r="J236" i="30"/>
  <c r="W236" i="30"/>
  <c r="D206" i="30"/>
  <c r="Q206" i="30"/>
  <c r="AC206" i="30"/>
  <c r="AC207" i="30" s="1"/>
  <c r="AC219" i="30" s="1"/>
  <c r="O209" i="30"/>
  <c r="O214" i="30" s="1"/>
  <c r="AF209" i="30"/>
  <c r="H357" i="30"/>
  <c r="D371" i="30"/>
  <c r="D372" i="30" s="1"/>
  <c r="B371" i="30"/>
  <c r="G371" i="30"/>
  <c r="E371" i="30"/>
  <c r="J357" i="30"/>
  <c r="B121" i="30"/>
  <c r="O121" i="30"/>
  <c r="O122" i="30" s="1"/>
  <c r="AA121" i="30"/>
  <c r="AA122" i="30" s="1"/>
  <c r="AT249" i="30"/>
  <c r="C249" i="30"/>
  <c r="B255" i="30" s="1"/>
  <c r="AT250" i="30"/>
  <c r="C250" i="30"/>
  <c r="D255" i="30" s="1"/>
  <c r="C251" i="30"/>
  <c r="D251" i="30" s="1"/>
  <c r="G255" i="30" s="1"/>
  <c r="AT251" i="30"/>
  <c r="C252" i="30"/>
  <c r="D252" i="30" s="1"/>
  <c r="G252" i="30" s="1"/>
  <c r="J252" i="30" s="1"/>
  <c r="N252" i="30" s="1"/>
  <c r="Q252" i="30" s="1"/>
  <c r="T252" i="30" s="1"/>
  <c r="W252" i="30" s="1"/>
  <c r="Z252" i="30" s="1"/>
  <c r="AC255" i="30" s="1"/>
  <c r="AT252" i="30"/>
  <c r="AT253" i="30"/>
  <c r="C253" i="30"/>
  <c r="D253" i="30" s="1"/>
  <c r="G253" i="30" s="1"/>
  <c r="J253" i="30" s="1"/>
  <c r="N253" i="30" s="1"/>
  <c r="Q253" i="30" s="1"/>
  <c r="T253" i="30" s="1"/>
  <c r="W253" i="30" s="1"/>
  <c r="Z255" i="30" s="1"/>
  <c r="L242" i="30"/>
  <c r="N243" i="30"/>
  <c r="Y241" i="30"/>
  <c r="E206" i="30"/>
  <c r="R206" i="30"/>
  <c r="AD206" i="30"/>
  <c r="B209" i="30"/>
  <c r="R209" i="30"/>
  <c r="V241" i="30"/>
  <c r="Z323" i="30"/>
  <c r="X323" i="30"/>
  <c r="AD309" i="30"/>
  <c r="AG314" i="30" s="1"/>
  <c r="AH289" i="30" s="1"/>
  <c r="G206" i="30"/>
  <c r="T206" i="30"/>
  <c r="AF206" i="30"/>
  <c r="AF207" i="30" s="1"/>
  <c r="AF217" i="30" s="1"/>
  <c r="E209" i="30"/>
  <c r="T209" i="30"/>
  <c r="F241" i="30"/>
  <c r="B318" i="30"/>
  <c r="A281" i="30"/>
  <c r="B320" i="30"/>
  <c r="A295" i="30"/>
  <c r="A284" i="30"/>
  <c r="E121" i="30"/>
  <c r="R121" i="30"/>
  <c r="AG234" i="30"/>
  <c r="AA236" i="30"/>
  <c r="AB241" i="30" s="1"/>
  <c r="AA209" i="30"/>
  <c r="AA214" i="30" s="1"/>
  <c r="H206" i="30"/>
  <c r="H207" i="30" s="1"/>
  <c r="U206" i="30"/>
  <c r="U207" i="30" s="1"/>
  <c r="G209" i="30"/>
  <c r="U209" i="30"/>
  <c r="U214" i="30" s="1"/>
  <c r="AG219" i="30"/>
  <c r="M184" i="30" s="1"/>
  <c r="A338" i="30"/>
  <c r="B367" i="30"/>
  <c r="H309" i="30"/>
  <c r="D323" i="30"/>
  <c r="B323" i="30"/>
  <c r="AC323" i="30"/>
  <c r="AA323" i="30"/>
  <c r="AF309" i="30"/>
  <c r="L264" i="30"/>
  <c r="AG264" i="30"/>
  <c r="L265" i="30"/>
  <c r="AG265" i="30"/>
  <c r="L266" i="30"/>
  <c r="AG266" i="30"/>
  <c r="C369" i="30"/>
  <c r="D369" i="30" s="1"/>
  <c r="G369" i="30" s="1"/>
  <c r="W264" i="30"/>
  <c r="AP264" i="30"/>
  <c r="W265" i="30"/>
  <c r="AP265" i="30"/>
  <c r="D3" i="25"/>
  <c r="C4" i="25"/>
  <c r="D4" i="25" s="1"/>
  <c r="D64" i="25"/>
  <c r="C65" i="25"/>
  <c r="D65" i="25" s="1"/>
  <c r="C344" i="25"/>
  <c r="D343" i="25"/>
  <c r="C64" i="25"/>
  <c r="D63" i="25"/>
  <c r="C10" i="25"/>
  <c r="C11" i="25" s="1"/>
  <c r="D11" i="25" s="1"/>
  <c r="D344" i="25"/>
  <c r="C287" i="25"/>
  <c r="C288" i="25" s="1"/>
  <c r="C289" i="25" s="1"/>
  <c r="C345" i="25"/>
  <c r="C351" i="25"/>
  <c r="C352" i="25" s="1"/>
  <c r="C353" i="25" s="1"/>
  <c r="C394" i="25"/>
  <c r="C395" i="25" s="1"/>
  <c r="C135" i="25"/>
  <c r="C136" i="25" s="1"/>
  <c r="C137" i="25" s="1"/>
  <c r="D346" i="25"/>
  <c r="D347" i="25" s="1"/>
  <c r="C346" i="25"/>
  <c r="C347" i="25"/>
  <c r="C348" i="25" s="1"/>
  <c r="C349" i="25" s="1"/>
  <c r="D349" i="25" s="1"/>
  <c r="D133" i="25"/>
  <c r="D348" i="25"/>
  <c r="C133" i="25"/>
  <c r="C285" i="25"/>
  <c r="D285" i="25" s="1"/>
  <c r="D132" i="25"/>
  <c r="C134" i="25"/>
  <c r="D134" i="25" s="1"/>
  <c r="D135" i="25" s="1"/>
  <c r="D136" i="25" s="1"/>
  <c r="C214" i="25"/>
  <c r="D214" i="25" s="1"/>
  <c r="C286" i="25"/>
  <c r="D286" i="25" s="1"/>
  <c r="D287" i="25" s="1"/>
  <c r="D288" i="25" s="1"/>
  <c r="D345" i="25"/>
  <c r="C350" i="25"/>
  <c r="D350" i="25" s="1"/>
  <c r="D351" i="25" s="1"/>
  <c r="D393" i="25"/>
  <c r="D394" i="25" s="1"/>
  <c r="J264" i="19"/>
  <c r="J265" i="19"/>
  <c r="J266" i="19"/>
  <c r="AN264" i="19"/>
  <c r="AN265" i="19"/>
  <c r="AN266" i="19"/>
  <c r="AP266" i="19"/>
  <c r="AK266" i="19"/>
  <c r="AH266" i="19"/>
  <c r="AF264" i="19"/>
  <c r="AF265" i="19"/>
  <c r="AF266" i="19"/>
  <c r="AG266" i="19"/>
  <c r="AC266" i="19"/>
  <c r="X266" i="19"/>
  <c r="U264" i="19"/>
  <c r="U265" i="19"/>
  <c r="U266" i="19"/>
  <c r="W266" i="19"/>
  <c r="L266" i="19"/>
  <c r="F266" i="19"/>
  <c r="B266" i="19"/>
  <c r="AP265" i="19"/>
  <c r="AK265" i="19"/>
  <c r="AH265" i="19"/>
  <c r="AG265" i="19"/>
  <c r="W265" i="19"/>
  <c r="R265" i="19"/>
  <c r="M265" i="19"/>
  <c r="L265" i="19"/>
  <c r="AP264" i="19"/>
  <c r="AK264" i="19"/>
  <c r="AH264" i="19"/>
  <c r="AG264" i="19"/>
  <c r="W264" i="19"/>
  <c r="R264" i="19"/>
  <c r="M264" i="19"/>
  <c r="L264" i="19"/>
  <c r="A259" i="19"/>
  <c r="AE255" i="19"/>
  <c r="AE256" i="19" s="1"/>
  <c r="AE257" i="19" s="1"/>
  <c r="AE201" i="19"/>
  <c r="AE202" i="19"/>
  <c r="AE203" i="19"/>
  <c r="AE204" i="19"/>
  <c r="AE205" i="19"/>
  <c r="AE206" i="19"/>
  <c r="AC255" i="19"/>
  <c r="AC201" i="19"/>
  <c r="AC202" i="19"/>
  <c r="AC203" i="19"/>
  <c r="AC204" i="19"/>
  <c r="AC205" i="19"/>
  <c r="AC206" i="19"/>
  <c r="AB255" i="19"/>
  <c r="Z256" i="19" s="1"/>
  <c r="AB201" i="19"/>
  <c r="AB202" i="19"/>
  <c r="AB203" i="19"/>
  <c r="AB204" i="19"/>
  <c r="AB205" i="19"/>
  <c r="AB206" i="19"/>
  <c r="Z255" i="19"/>
  <c r="Z201" i="19"/>
  <c r="Z202" i="19"/>
  <c r="Z203" i="19"/>
  <c r="Z204" i="19"/>
  <c r="Z205" i="19"/>
  <c r="Z206" i="19"/>
  <c r="Y255" i="19"/>
  <c r="Y256" i="19" s="1"/>
  <c r="Y257" i="19" s="1"/>
  <c r="Y201" i="19"/>
  <c r="Y202" i="19"/>
  <c r="Y203" i="19"/>
  <c r="Y204" i="19"/>
  <c r="Y205" i="19"/>
  <c r="Y206" i="19"/>
  <c r="W255" i="19"/>
  <c r="W201" i="19"/>
  <c r="W202" i="19"/>
  <c r="W203" i="19"/>
  <c r="W204" i="19"/>
  <c r="W205" i="19"/>
  <c r="W206" i="19"/>
  <c r="V255" i="19"/>
  <c r="V256" i="19" s="1"/>
  <c r="V257" i="19" s="1"/>
  <c r="V201" i="19"/>
  <c r="V202" i="19"/>
  <c r="V203" i="19"/>
  <c r="V204" i="19"/>
  <c r="V205" i="19"/>
  <c r="V206" i="19"/>
  <c r="T255" i="19"/>
  <c r="T201" i="19"/>
  <c r="T202" i="19"/>
  <c r="T203" i="19"/>
  <c r="T204" i="19"/>
  <c r="T205" i="19"/>
  <c r="T206" i="19"/>
  <c r="T256" i="19"/>
  <c r="T257" i="19" s="1"/>
  <c r="S255" i="19"/>
  <c r="S201" i="19"/>
  <c r="S202" i="19"/>
  <c r="S203" i="19"/>
  <c r="S204" i="19"/>
  <c r="S205" i="19"/>
  <c r="S206" i="19"/>
  <c r="Q255" i="19"/>
  <c r="Q256" i="19" s="1"/>
  <c r="Q201" i="19"/>
  <c r="Q202" i="19"/>
  <c r="Q203" i="19"/>
  <c r="Q204" i="19"/>
  <c r="Q205" i="19"/>
  <c r="Q206" i="19"/>
  <c r="P255" i="19"/>
  <c r="P201" i="19"/>
  <c r="P202" i="19"/>
  <c r="P203" i="19"/>
  <c r="P204" i="19"/>
  <c r="P205" i="19"/>
  <c r="P206" i="19"/>
  <c r="N255" i="19"/>
  <c r="N201" i="19"/>
  <c r="N202" i="19"/>
  <c r="N203" i="19"/>
  <c r="N204" i="19"/>
  <c r="N205" i="19"/>
  <c r="N206" i="19"/>
  <c r="M255" i="19"/>
  <c r="M201" i="19"/>
  <c r="M202" i="19"/>
  <c r="M203" i="19"/>
  <c r="M204" i="19"/>
  <c r="M205" i="19"/>
  <c r="M206" i="19"/>
  <c r="K255" i="19"/>
  <c r="K201" i="19"/>
  <c r="K202" i="19"/>
  <c r="K203" i="19"/>
  <c r="K204" i="19"/>
  <c r="K205" i="19"/>
  <c r="K206" i="19"/>
  <c r="E244" i="19"/>
  <c r="E234" i="19"/>
  <c r="G234" i="19"/>
  <c r="E201" i="19"/>
  <c r="E202" i="19"/>
  <c r="E203" i="19"/>
  <c r="E204" i="19"/>
  <c r="E205" i="19"/>
  <c r="E235" i="19"/>
  <c r="G235" i="19"/>
  <c r="E236" i="19"/>
  <c r="G201" i="19"/>
  <c r="G202" i="19"/>
  <c r="G203" i="19"/>
  <c r="G204" i="19"/>
  <c r="G205" i="19"/>
  <c r="G236" i="19"/>
  <c r="E237" i="19"/>
  <c r="G237" i="19"/>
  <c r="E238" i="19"/>
  <c r="G238" i="19"/>
  <c r="F241" i="19"/>
  <c r="G244" i="19"/>
  <c r="B244" i="19"/>
  <c r="D244" i="19"/>
  <c r="X266" i="18"/>
  <c r="E182" i="19" s="1"/>
  <c r="G206" i="19"/>
  <c r="E206" i="19"/>
  <c r="J201" i="19"/>
  <c r="J202" i="19"/>
  <c r="J203" i="19"/>
  <c r="J204" i="19"/>
  <c r="J205" i="19"/>
  <c r="J206" i="19"/>
  <c r="E242" i="19"/>
  <c r="G242" i="19"/>
  <c r="B201" i="19"/>
  <c r="B202" i="19"/>
  <c r="B203" i="19"/>
  <c r="B204" i="19"/>
  <c r="B205" i="19"/>
  <c r="B234" i="19"/>
  <c r="D234" i="19"/>
  <c r="B235" i="19"/>
  <c r="D201" i="19"/>
  <c r="D202" i="19"/>
  <c r="D203" i="19"/>
  <c r="D204" i="19"/>
  <c r="D205" i="19"/>
  <c r="D235" i="19"/>
  <c r="B236" i="19"/>
  <c r="D236" i="19"/>
  <c r="B237" i="19"/>
  <c r="D237" i="19"/>
  <c r="B238" i="19"/>
  <c r="D238" i="19"/>
  <c r="C241" i="19"/>
  <c r="B242" i="19"/>
  <c r="D242" i="19"/>
  <c r="X264" i="18"/>
  <c r="E178" i="19"/>
  <c r="B249" i="19"/>
  <c r="B206" i="19"/>
  <c r="D206" i="19"/>
  <c r="H201" i="19"/>
  <c r="H202" i="19"/>
  <c r="H203" i="19"/>
  <c r="H204" i="19"/>
  <c r="H205" i="19"/>
  <c r="H206" i="19"/>
  <c r="B243" i="19"/>
  <c r="D243" i="19"/>
  <c r="X265" i="18"/>
  <c r="E180" i="19"/>
  <c r="B250" i="19"/>
  <c r="AC246" i="19"/>
  <c r="AE246" i="19"/>
  <c r="Z246" i="19"/>
  <c r="AB246" i="19"/>
  <c r="W246" i="19"/>
  <c r="Y246" i="19"/>
  <c r="T246" i="19"/>
  <c r="V246" i="19"/>
  <c r="Q246" i="19"/>
  <c r="S246" i="19"/>
  <c r="N246" i="19"/>
  <c r="P246" i="19"/>
  <c r="K246" i="19"/>
  <c r="M246" i="19"/>
  <c r="H246" i="19"/>
  <c r="J246" i="19"/>
  <c r="E246" i="19"/>
  <c r="G246" i="19"/>
  <c r="B246" i="19"/>
  <c r="D246" i="19"/>
  <c r="E186" i="19"/>
  <c r="B253" i="19"/>
  <c r="C253" i="19"/>
  <c r="D253" i="19" s="1"/>
  <c r="G253" i="19" s="1"/>
  <c r="J253" i="19" s="1"/>
  <c r="M253" i="19" s="1"/>
  <c r="P253" i="19" s="1"/>
  <c r="S253" i="19" s="1"/>
  <c r="V253" i="19" s="1"/>
  <c r="Y253" i="19" s="1"/>
  <c r="AB253" i="19" s="1"/>
  <c r="AE253" i="19" s="1"/>
  <c r="AU253" i="19" s="1"/>
  <c r="AT253" i="19"/>
  <c r="AC245" i="19"/>
  <c r="AE245" i="19"/>
  <c r="Z245" i="19"/>
  <c r="AB245" i="19"/>
  <c r="W245" i="19"/>
  <c r="Y245" i="19"/>
  <c r="T245" i="19"/>
  <c r="V245" i="19"/>
  <c r="Q245" i="19"/>
  <c r="S245" i="19"/>
  <c r="N245" i="19"/>
  <c r="P245" i="19"/>
  <c r="K245" i="19"/>
  <c r="M245" i="19"/>
  <c r="H245" i="19"/>
  <c r="J245" i="19"/>
  <c r="E245" i="19"/>
  <c r="G245" i="19"/>
  <c r="B245" i="19"/>
  <c r="D245" i="19"/>
  <c r="E184" i="19"/>
  <c r="B252" i="19"/>
  <c r="AT252" i="19" s="1"/>
  <c r="AC244" i="19"/>
  <c r="AE244" i="19"/>
  <c r="Z244" i="19"/>
  <c r="AB244" i="19"/>
  <c r="W244" i="19"/>
  <c r="Y244" i="19"/>
  <c r="T244" i="19"/>
  <c r="V244" i="19"/>
  <c r="Q244" i="19"/>
  <c r="S244" i="19"/>
  <c r="N244" i="19"/>
  <c r="P244" i="19"/>
  <c r="K244" i="19"/>
  <c r="M244" i="19"/>
  <c r="H244" i="19"/>
  <c r="H234" i="19"/>
  <c r="J234" i="19"/>
  <c r="H235" i="19"/>
  <c r="J235" i="19"/>
  <c r="H236" i="19"/>
  <c r="J236" i="19"/>
  <c r="H237" i="19"/>
  <c r="J237" i="19"/>
  <c r="H238" i="19"/>
  <c r="J238" i="19"/>
  <c r="I241" i="19"/>
  <c r="J244" i="19"/>
  <c r="AC243" i="19"/>
  <c r="AE243" i="19"/>
  <c r="Z243" i="19"/>
  <c r="AB243" i="19"/>
  <c r="W243" i="19"/>
  <c r="Y243" i="19"/>
  <c r="T243" i="19"/>
  <c r="V243" i="19"/>
  <c r="Q243" i="19"/>
  <c r="S243" i="19"/>
  <c r="N243" i="19"/>
  <c r="P243" i="19"/>
  <c r="K243" i="19"/>
  <c r="M243" i="19"/>
  <c r="H243" i="19"/>
  <c r="J243" i="19"/>
  <c r="E243" i="19"/>
  <c r="G243" i="19"/>
  <c r="AT250" i="19"/>
  <c r="AC242" i="19"/>
  <c r="AE242" i="19"/>
  <c r="Z242" i="19"/>
  <c r="AB242" i="19"/>
  <c r="W242" i="19"/>
  <c r="Y242" i="19"/>
  <c r="T242" i="19"/>
  <c r="V242" i="19"/>
  <c r="Q242" i="19"/>
  <c r="S242" i="19"/>
  <c r="N242" i="19"/>
  <c r="P242" i="19"/>
  <c r="K242" i="19"/>
  <c r="M242" i="19"/>
  <c r="H242" i="19"/>
  <c r="J242" i="19"/>
  <c r="AT249" i="19"/>
  <c r="AF246" i="19"/>
  <c r="AF245" i="19"/>
  <c r="AF244" i="19"/>
  <c r="AF243" i="19"/>
  <c r="AF242" i="19"/>
  <c r="AC234" i="19"/>
  <c r="AE234" i="19"/>
  <c r="AC235" i="19"/>
  <c r="AE235" i="19"/>
  <c r="AC236" i="19"/>
  <c r="AE236" i="19"/>
  <c r="AC237" i="19"/>
  <c r="AE237" i="19"/>
  <c r="AC238" i="19"/>
  <c r="AE238" i="19"/>
  <c r="AD241" i="19"/>
  <c r="Z234" i="19"/>
  <c r="AB234" i="19"/>
  <c r="Z235" i="19"/>
  <c r="AB235" i="19"/>
  <c r="Z236" i="19"/>
  <c r="AB236" i="19"/>
  <c r="Z237" i="19"/>
  <c r="AB237" i="19"/>
  <c r="Z238" i="19"/>
  <c r="AB238" i="19"/>
  <c r="AA241" i="19"/>
  <c r="W234" i="19"/>
  <c r="Y234" i="19"/>
  <c r="W235" i="19"/>
  <c r="Y235" i="19"/>
  <c r="W236" i="19"/>
  <c r="Y236" i="19"/>
  <c r="W237" i="19"/>
  <c r="Y237" i="19"/>
  <c r="W238" i="19"/>
  <c r="Y238" i="19"/>
  <c r="X241" i="19"/>
  <c r="T234" i="19"/>
  <c r="V234" i="19"/>
  <c r="T235" i="19"/>
  <c r="V235" i="19"/>
  <c r="T236" i="19"/>
  <c r="V236" i="19"/>
  <c r="T237" i="19"/>
  <c r="V237" i="19"/>
  <c r="T238" i="19"/>
  <c r="V238" i="19"/>
  <c r="U241" i="19"/>
  <c r="Q234" i="19"/>
  <c r="S234" i="19"/>
  <c r="Q235" i="19"/>
  <c r="S235" i="19"/>
  <c r="Q236" i="19"/>
  <c r="S236" i="19"/>
  <c r="Q237" i="19"/>
  <c r="S237" i="19"/>
  <c r="Q238" i="19"/>
  <c r="S238" i="19"/>
  <c r="R241" i="19"/>
  <c r="N234" i="19"/>
  <c r="P234" i="19"/>
  <c r="N235" i="19"/>
  <c r="P235" i="19"/>
  <c r="N236" i="19"/>
  <c r="P236" i="19"/>
  <c r="N237" i="19"/>
  <c r="P237" i="19"/>
  <c r="N238" i="19"/>
  <c r="P238" i="19"/>
  <c r="O241" i="19"/>
  <c r="K234" i="19"/>
  <c r="M234" i="19"/>
  <c r="K235" i="19"/>
  <c r="M235" i="19"/>
  <c r="K236" i="19"/>
  <c r="M236" i="19"/>
  <c r="K237" i="19"/>
  <c r="M237" i="19"/>
  <c r="K238" i="19"/>
  <c r="M238" i="19"/>
  <c r="L241" i="19"/>
  <c r="AF238" i="19"/>
  <c r="AG238" i="19"/>
  <c r="AF237" i="19"/>
  <c r="AG237" i="19"/>
  <c r="AF236" i="19"/>
  <c r="AG236" i="19"/>
  <c r="AF235" i="19"/>
  <c r="AG235" i="19"/>
  <c r="AF234" i="19"/>
  <c r="AG234" i="19"/>
  <c r="B232" i="19"/>
  <c r="D232" i="19"/>
  <c r="E232" i="19"/>
  <c r="G232" i="19"/>
  <c r="H232" i="19"/>
  <c r="J232" i="19"/>
  <c r="K232" i="19"/>
  <c r="M232" i="19"/>
  <c r="N232" i="19"/>
  <c r="P232" i="19"/>
  <c r="Q232" i="19"/>
  <c r="S232" i="19"/>
  <c r="T232" i="19"/>
  <c r="V232" i="19"/>
  <c r="W232" i="19"/>
  <c r="Y232" i="19"/>
  <c r="Z232" i="19"/>
  <c r="AB232" i="19"/>
  <c r="AC232" i="19"/>
  <c r="AE232" i="19"/>
  <c r="AF232" i="19"/>
  <c r="B231" i="19"/>
  <c r="D231" i="19"/>
  <c r="E231" i="19"/>
  <c r="G231" i="19"/>
  <c r="H231" i="19"/>
  <c r="J231" i="19"/>
  <c r="K231" i="19"/>
  <c r="M231" i="19"/>
  <c r="N231" i="19"/>
  <c r="P231" i="19"/>
  <c r="Q231" i="19"/>
  <c r="S231" i="19"/>
  <c r="T231" i="19"/>
  <c r="V231" i="19"/>
  <c r="W231" i="19"/>
  <c r="Y231" i="19"/>
  <c r="Z231" i="19"/>
  <c r="AB231" i="19"/>
  <c r="AC231" i="19"/>
  <c r="AE231" i="19"/>
  <c r="AF231" i="19"/>
  <c r="B230" i="19"/>
  <c r="D230" i="19"/>
  <c r="E230" i="19"/>
  <c r="E209" i="19"/>
  <c r="G209" i="19"/>
  <c r="E210" i="19"/>
  <c r="G210" i="19"/>
  <c r="E211" i="19"/>
  <c r="G211" i="19"/>
  <c r="E212" i="19"/>
  <c r="G212" i="19"/>
  <c r="E213" i="19"/>
  <c r="G213" i="19"/>
  <c r="E214" i="19"/>
  <c r="G230" i="19"/>
  <c r="H230" i="19"/>
  <c r="H209" i="19"/>
  <c r="J209" i="19"/>
  <c r="H210" i="19"/>
  <c r="J210" i="19"/>
  <c r="H211" i="19"/>
  <c r="J211" i="19"/>
  <c r="H212" i="19"/>
  <c r="J212" i="19"/>
  <c r="H213" i="19"/>
  <c r="J213" i="19"/>
  <c r="H214" i="19"/>
  <c r="J230" i="19"/>
  <c r="K230" i="19"/>
  <c r="M230" i="19"/>
  <c r="N230" i="19"/>
  <c r="P230" i="19"/>
  <c r="Q230" i="19"/>
  <c r="S230" i="19"/>
  <c r="T230" i="19"/>
  <c r="V230" i="19"/>
  <c r="W230" i="19"/>
  <c r="Y230" i="19"/>
  <c r="Z230" i="19"/>
  <c r="AB230" i="19"/>
  <c r="AC230" i="19"/>
  <c r="AE230" i="19"/>
  <c r="AF230" i="19"/>
  <c r="B229" i="19"/>
  <c r="B209" i="19"/>
  <c r="D209" i="19"/>
  <c r="B210" i="19"/>
  <c r="D210" i="19"/>
  <c r="B211" i="19"/>
  <c r="D211" i="19"/>
  <c r="B212" i="19"/>
  <c r="D212" i="19"/>
  <c r="B213" i="19"/>
  <c r="D213" i="19"/>
  <c r="B214" i="19"/>
  <c r="D229" i="19"/>
  <c r="E229" i="19"/>
  <c r="G229" i="19"/>
  <c r="H229" i="19"/>
  <c r="J229" i="19"/>
  <c r="K229" i="19"/>
  <c r="M229" i="19"/>
  <c r="N229" i="19"/>
  <c r="P229" i="19"/>
  <c r="Q229" i="19"/>
  <c r="S229" i="19"/>
  <c r="T229" i="19"/>
  <c r="V229" i="19"/>
  <c r="W229" i="19"/>
  <c r="Y229" i="19"/>
  <c r="Z229" i="19"/>
  <c r="AB229" i="19"/>
  <c r="AC229" i="19"/>
  <c r="AE229" i="19"/>
  <c r="AF229" i="19"/>
  <c r="B228" i="19"/>
  <c r="D228" i="19"/>
  <c r="E228" i="19"/>
  <c r="G228" i="19"/>
  <c r="H228" i="19"/>
  <c r="J228" i="19"/>
  <c r="K228" i="19"/>
  <c r="M228" i="19"/>
  <c r="N228" i="19"/>
  <c r="P228" i="19"/>
  <c r="Q228" i="19"/>
  <c r="S228" i="19"/>
  <c r="T228" i="19"/>
  <c r="V228" i="19"/>
  <c r="W228" i="19"/>
  <c r="Y228" i="19"/>
  <c r="Z228" i="19"/>
  <c r="AB228" i="19"/>
  <c r="AC228" i="19"/>
  <c r="AE228" i="19"/>
  <c r="AF228" i="19"/>
  <c r="B226" i="19"/>
  <c r="D226" i="19"/>
  <c r="E226" i="19"/>
  <c r="G226" i="19"/>
  <c r="H226" i="19"/>
  <c r="J226" i="19"/>
  <c r="K226" i="19"/>
  <c r="M226" i="19"/>
  <c r="N226" i="19"/>
  <c r="P226" i="19"/>
  <c r="Q226" i="19"/>
  <c r="S226" i="19"/>
  <c r="T226" i="19"/>
  <c r="V226" i="19"/>
  <c r="W226" i="19"/>
  <c r="Y226" i="19"/>
  <c r="Z226" i="19"/>
  <c r="AB226" i="19"/>
  <c r="AC226" i="19"/>
  <c r="AE226" i="19"/>
  <c r="AF226" i="19"/>
  <c r="B225" i="19"/>
  <c r="D225" i="19"/>
  <c r="E225" i="19"/>
  <c r="G225" i="19"/>
  <c r="H225" i="19"/>
  <c r="J225" i="19"/>
  <c r="K225" i="19"/>
  <c r="M225" i="19"/>
  <c r="N225" i="19"/>
  <c r="P225" i="19"/>
  <c r="Q225" i="19"/>
  <c r="S225" i="19"/>
  <c r="T225" i="19"/>
  <c r="V225" i="19"/>
  <c r="W225" i="19"/>
  <c r="Y225" i="19"/>
  <c r="Z225" i="19"/>
  <c r="AB225" i="19"/>
  <c r="AC225" i="19"/>
  <c r="AE225" i="19"/>
  <c r="AF225" i="19"/>
  <c r="B224" i="19"/>
  <c r="D224" i="19"/>
  <c r="E224" i="19"/>
  <c r="E207" i="19"/>
  <c r="G207" i="19"/>
  <c r="F207" i="19"/>
  <c r="G224" i="19"/>
  <c r="H224" i="19"/>
  <c r="H207" i="19"/>
  <c r="J207" i="19"/>
  <c r="I207" i="19"/>
  <c r="J224" i="19"/>
  <c r="K224" i="19"/>
  <c r="M224" i="19"/>
  <c r="N224" i="19"/>
  <c r="P224" i="19"/>
  <c r="Q224" i="19"/>
  <c r="S224" i="19"/>
  <c r="T224" i="19"/>
  <c r="V224" i="19"/>
  <c r="W224" i="19"/>
  <c r="Y224" i="19"/>
  <c r="Z224" i="19"/>
  <c r="AB224" i="19"/>
  <c r="AC224" i="19"/>
  <c r="AE224" i="19"/>
  <c r="AF224" i="19"/>
  <c r="B223" i="19"/>
  <c r="B207" i="19"/>
  <c r="D207" i="19"/>
  <c r="C207" i="19"/>
  <c r="D223" i="19"/>
  <c r="E223" i="19"/>
  <c r="G223" i="19"/>
  <c r="H223" i="19"/>
  <c r="J223" i="19"/>
  <c r="K223" i="19"/>
  <c r="M223" i="19"/>
  <c r="N223" i="19"/>
  <c r="P223" i="19"/>
  <c r="Q223" i="19"/>
  <c r="S223" i="19"/>
  <c r="T223" i="19"/>
  <c r="V223" i="19"/>
  <c r="W223" i="19"/>
  <c r="Y223" i="19"/>
  <c r="Z223" i="19"/>
  <c r="AB223" i="19"/>
  <c r="AC223" i="19"/>
  <c r="AE223" i="19"/>
  <c r="AF223" i="19"/>
  <c r="B222" i="19"/>
  <c r="D222" i="19"/>
  <c r="E222" i="19"/>
  <c r="G222" i="19"/>
  <c r="H222" i="19"/>
  <c r="J222" i="19"/>
  <c r="K222" i="19"/>
  <c r="M222" i="19"/>
  <c r="N222" i="19"/>
  <c r="P222" i="19"/>
  <c r="Q222" i="19"/>
  <c r="S222" i="19"/>
  <c r="T222" i="19"/>
  <c r="V222" i="19"/>
  <c r="W222" i="19"/>
  <c r="Y222" i="19"/>
  <c r="Z222" i="19"/>
  <c r="AB222" i="19"/>
  <c r="AC222" i="19"/>
  <c r="AE222" i="19"/>
  <c r="AF222" i="19"/>
  <c r="B220" i="19"/>
  <c r="D220" i="19"/>
  <c r="E220" i="19"/>
  <c r="G220" i="19"/>
  <c r="H220" i="19"/>
  <c r="J220" i="19"/>
  <c r="K220" i="19"/>
  <c r="M220" i="19"/>
  <c r="N220" i="19"/>
  <c r="P220" i="19"/>
  <c r="Q220" i="19"/>
  <c r="S220" i="19"/>
  <c r="T220" i="19"/>
  <c r="V220" i="19"/>
  <c r="W220" i="19"/>
  <c r="Y220" i="19"/>
  <c r="Z220" i="19"/>
  <c r="AB220" i="19"/>
  <c r="AC220" i="19"/>
  <c r="AE220" i="19"/>
  <c r="AF220" i="19"/>
  <c r="AG220" i="19"/>
  <c r="B219" i="19"/>
  <c r="D219" i="19"/>
  <c r="E219" i="19"/>
  <c r="G219" i="19"/>
  <c r="H219" i="19"/>
  <c r="J219" i="19"/>
  <c r="K219" i="19"/>
  <c r="M219" i="19"/>
  <c r="N219" i="19"/>
  <c r="P219" i="19"/>
  <c r="Q219" i="19"/>
  <c r="S219" i="19"/>
  <c r="T219" i="19"/>
  <c r="V219" i="19"/>
  <c r="W219" i="19"/>
  <c r="Y219" i="19"/>
  <c r="Z219" i="19"/>
  <c r="AB219" i="19"/>
  <c r="AC219" i="19"/>
  <c r="AE219" i="19"/>
  <c r="AF219" i="19"/>
  <c r="AG219" i="19"/>
  <c r="B218" i="19"/>
  <c r="D218" i="19"/>
  <c r="E218" i="19"/>
  <c r="G218" i="19"/>
  <c r="H218" i="19"/>
  <c r="J218" i="19"/>
  <c r="K218" i="19"/>
  <c r="M218" i="19"/>
  <c r="N218" i="19"/>
  <c r="P218" i="19"/>
  <c r="Q218" i="19"/>
  <c r="S218" i="19"/>
  <c r="T218" i="19"/>
  <c r="V218" i="19"/>
  <c r="W218" i="19"/>
  <c r="Y218" i="19"/>
  <c r="Z218" i="19"/>
  <c r="AB218" i="19"/>
  <c r="AC218" i="19"/>
  <c r="AE218" i="19"/>
  <c r="AF218" i="19"/>
  <c r="AG218" i="19"/>
  <c r="B217" i="19"/>
  <c r="D217" i="19"/>
  <c r="E217" i="19"/>
  <c r="G217" i="19"/>
  <c r="H217" i="19"/>
  <c r="J217" i="19"/>
  <c r="K217" i="19"/>
  <c r="M217" i="19"/>
  <c r="N217" i="19"/>
  <c r="P217" i="19"/>
  <c r="Q217" i="19"/>
  <c r="S217" i="19"/>
  <c r="T217" i="19"/>
  <c r="V217" i="19"/>
  <c r="W217" i="19"/>
  <c r="Y217" i="19"/>
  <c r="Z217" i="19"/>
  <c r="AB217" i="19"/>
  <c r="AC217" i="19"/>
  <c r="AE217" i="19"/>
  <c r="AF217" i="19"/>
  <c r="AG217" i="19"/>
  <c r="B216" i="19"/>
  <c r="D216" i="19"/>
  <c r="E216" i="19"/>
  <c r="G216" i="19"/>
  <c r="H216" i="19"/>
  <c r="J216" i="19"/>
  <c r="K216" i="19"/>
  <c r="M216" i="19"/>
  <c r="N216" i="19"/>
  <c r="P216" i="19"/>
  <c r="Q216" i="19"/>
  <c r="S216" i="19"/>
  <c r="T216" i="19"/>
  <c r="V216" i="19"/>
  <c r="W216" i="19"/>
  <c r="Y216" i="19"/>
  <c r="Z216" i="19"/>
  <c r="AB216" i="19"/>
  <c r="AC216" i="19"/>
  <c r="AE216" i="19"/>
  <c r="AF216" i="19"/>
  <c r="AG216" i="19"/>
  <c r="AC209" i="19"/>
  <c r="AE209" i="19"/>
  <c r="AC210" i="19"/>
  <c r="AE210" i="19"/>
  <c r="AC211" i="19"/>
  <c r="AE211" i="19"/>
  <c r="AC212" i="19"/>
  <c r="AE212" i="19"/>
  <c r="AC213" i="19"/>
  <c r="AE213" i="19"/>
  <c r="AC214" i="19"/>
  <c r="Z209" i="19"/>
  <c r="AB209" i="19"/>
  <c r="Z210" i="19"/>
  <c r="AB210" i="19"/>
  <c r="Z211" i="19"/>
  <c r="AB211" i="19"/>
  <c r="Z212" i="19"/>
  <c r="AB212" i="19"/>
  <c r="Z213" i="19"/>
  <c r="AB213" i="19"/>
  <c r="Z214" i="19"/>
  <c r="W209" i="19"/>
  <c r="Y209" i="19"/>
  <c r="W210" i="19"/>
  <c r="Y210" i="19"/>
  <c r="W211" i="19"/>
  <c r="Y211" i="19"/>
  <c r="W212" i="19"/>
  <c r="Y212" i="19"/>
  <c r="W213" i="19"/>
  <c r="Y213" i="19"/>
  <c r="W214" i="19"/>
  <c r="T209" i="19"/>
  <c r="V209" i="19"/>
  <c r="T210" i="19"/>
  <c r="V210" i="19"/>
  <c r="T211" i="19"/>
  <c r="V211" i="19"/>
  <c r="T212" i="19"/>
  <c r="V212" i="19"/>
  <c r="T213" i="19"/>
  <c r="V213" i="19"/>
  <c r="T214" i="19"/>
  <c r="Q209" i="19"/>
  <c r="S209" i="19"/>
  <c r="Q210" i="19"/>
  <c r="S210" i="19"/>
  <c r="Q211" i="19"/>
  <c r="S211" i="19"/>
  <c r="Q212" i="19"/>
  <c r="S212" i="19"/>
  <c r="Q213" i="19"/>
  <c r="S213" i="19"/>
  <c r="Q214" i="19"/>
  <c r="N209" i="19"/>
  <c r="P209" i="19"/>
  <c r="N210" i="19"/>
  <c r="P210" i="19"/>
  <c r="N211" i="19"/>
  <c r="P211" i="19"/>
  <c r="N212" i="19"/>
  <c r="P212" i="19"/>
  <c r="N213" i="19"/>
  <c r="P213" i="19"/>
  <c r="N214" i="19"/>
  <c r="K209" i="19"/>
  <c r="M209" i="19"/>
  <c r="K210" i="19"/>
  <c r="M210" i="19"/>
  <c r="K211" i="19"/>
  <c r="M211" i="19"/>
  <c r="K212" i="19"/>
  <c r="M212" i="19"/>
  <c r="K213" i="19"/>
  <c r="M213" i="19"/>
  <c r="K214" i="19"/>
  <c r="AE207" i="19"/>
  <c r="AC207" i="19"/>
  <c r="AD207" i="19"/>
  <c r="AB207" i="19"/>
  <c r="Z207" i="19"/>
  <c r="AA207" i="19"/>
  <c r="Y207" i="19"/>
  <c r="W207" i="19"/>
  <c r="X207" i="19"/>
  <c r="V207" i="19"/>
  <c r="T207" i="19"/>
  <c r="U207" i="19"/>
  <c r="S207" i="19"/>
  <c r="Q207" i="19"/>
  <c r="R207" i="19"/>
  <c r="P207" i="19"/>
  <c r="N207" i="19"/>
  <c r="O207" i="19"/>
  <c r="M207" i="19"/>
  <c r="K207" i="19"/>
  <c r="L207" i="19"/>
  <c r="AE200" i="19"/>
  <c r="AC200" i="19"/>
  <c r="AB200" i="19"/>
  <c r="Z200" i="19"/>
  <c r="Y200" i="19"/>
  <c r="W200" i="19"/>
  <c r="V200" i="19"/>
  <c r="T200" i="19"/>
  <c r="S200" i="19"/>
  <c r="Q200" i="19"/>
  <c r="P200" i="19"/>
  <c r="N200" i="19"/>
  <c r="M200" i="19"/>
  <c r="K200" i="19"/>
  <c r="J200" i="19"/>
  <c r="H200" i="19"/>
  <c r="G200" i="19"/>
  <c r="E200" i="19"/>
  <c r="D200" i="19"/>
  <c r="B200" i="19"/>
  <c r="AD199" i="19"/>
  <c r="AA199" i="19"/>
  <c r="X199" i="19"/>
  <c r="U199" i="19"/>
  <c r="R199" i="19"/>
  <c r="O199" i="19"/>
  <c r="L199" i="19"/>
  <c r="I199" i="19"/>
  <c r="F199" i="19"/>
  <c r="A199" i="19"/>
  <c r="AG198" i="19"/>
  <c r="AH198" i="19"/>
  <c r="AI198" i="19"/>
  <c r="AJ198" i="19"/>
  <c r="AK198" i="19"/>
  <c r="AL198" i="19"/>
  <c r="AM198" i="19"/>
  <c r="AN198" i="19"/>
  <c r="AO198" i="19"/>
  <c r="AP198" i="19"/>
  <c r="AQ198" i="19"/>
  <c r="AF198" i="19"/>
  <c r="AD198" i="19"/>
  <c r="AA198" i="19"/>
  <c r="X198" i="19"/>
  <c r="U198" i="19"/>
  <c r="R198" i="19"/>
  <c r="O198" i="19"/>
  <c r="L198" i="19"/>
  <c r="I198" i="19"/>
  <c r="F198" i="19"/>
  <c r="A198" i="19"/>
  <c r="AG197" i="19"/>
  <c r="AH197" i="19"/>
  <c r="AI197" i="19"/>
  <c r="AJ197" i="19"/>
  <c r="AK197" i="19"/>
  <c r="AL197" i="19"/>
  <c r="AM197" i="19"/>
  <c r="AN197" i="19"/>
  <c r="AO197" i="19"/>
  <c r="AP197" i="19"/>
  <c r="AQ197" i="19"/>
  <c r="AF197" i="19"/>
  <c r="AD197" i="19"/>
  <c r="AA197" i="19"/>
  <c r="X197" i="19"/>
  <c r="U197" i="19"/>
  <c r="R197" i="19"/>
  <c r="O197" i="19"/>
  <c r="L197" i="19"/>
  <c r="I197" i="19"/>
  <c r="F197" i="19"/>
  <c r="A197" i="19"/>
  <c r="AG196" i="19"/>
  <c r="AH196" i="19"/>
  <c r="AI196" i="19"/>
  <c r="AJ196" i="19"/>
  <c r="AK196" i="19"/>
  <c r="AL196" i="19"/>
  <c r="AM196" i="19"/>
  <c r="AN196" i="19"/>
  <c r="AO196" i="19"/>
  <c r="AP196" i="19"/>
  <c r="AQ196" i="19"/>
  <c r="AF196" i="19"/>
  <c r="AD196" i="19"/>
  <c r="AA196" i="19"/>
  <c r="X196" i="19"/>
  <c r="U196" i="19"/>
  <c r="R196" i="19"/>
  <c r="O196" i="19"/>
  <c r="L196" i="19"/>
  <c r="I196" i="19"/>
  <c r="F196" i="19"/>
  <c r="A196" i="19"/>
  <c r="AG195" i="19"/>
  <c r="AH195" i="19"/>
  <c r="AI195" i="19"/>
  <c r="AJ195" i="19"/>
  <c r="AK195" i="19"/>
  <c r="AL195" i="19"/>
  <c r="AM195" i="19"/>
  <c r="AN195" i="19"/>
  <c r="AO195" i="19"/>
  <c r="AP195" i="19"/>
  <c r="AQ195" i="19"/>
  <c r="AF195" i="19"/>
  <c r="AD195" i="19"/>
  <c r="AA195" i="19"/>
  <c r="X195" i="19"/>
  <c r="U195" i="19"/>
  <c r="R195" i="19"/>
  <c r="O195" i="19"/>
  <c r="L195" i="19"/>
  <c r="I195" i="19"/>
  <c r="F195" i="19"/>
  <c r="AG194" i="19"/>
  <c r="AH194" i="19"/>
  <c r="AI194" i="19"/>
  <c r="AJ194" i="19"/>
  <c r="AK194" i="19"/>
  <c r="AL194" i="19"/>
  <c r="AM194" i="19"/>
  <c r="AN194" i="19"/>
  <c r="AO194" i="19"/>
  <c r="AP194" i="19"/>
  <c r="AQ194" i="19"/>
  <c r="AF194" i="19"/>
  <c r="AD194" i="19"/>
  <c r="AA194" i="19"/>
  <c r="X194" i="19"/>
  <c r="U194" i="19"/>
  <c r="R194" i="19"/>
  <c r="O194" i="19"/>
  <c r="L194" i="19"/>
  <c r="I194" i="19"/>
  <c r="F194" i="19"/>
  <c r="AC192" i="19"/>
  <c r="Z192" i="19"/>
  <c r="W192" i="19"/>
  <c r="T192" i="19"/>
  <c r="Q192" i="19"/>
  <c r="N192" i="19"/>
  <c r="K192" i="19"/>
  <c r="H192" i="19"/>
  <c r="E192" i="19"/>
  <c r="E187" i="19"/>
  <c r="AC186" i="19"/>
  <c r="Z186" i="19"/>
  <c r="W186" i="19"/>
  <c r="R186" i="19"/>
  <c r="L186" i="19"/>
  <c r="A186" i="19"/>
  <c r="E185" i="19"/>
  <c r="AC184" i="19"/>
  <c r="Z184" i="19"/>
  <c r="W184" i="19"/>
  <c r="R184" i="19"/>
  <c r="L184" i="19"/>
  <c r="A184" i="19"/>
  <c r="AC266" i="18"/>
  <c r="E183" i="19" s="1"/>
  <c r="R266" i="19" s="1"/>
  <c r="AC182" i="19"/>
  <c r="Z182" i="19"/>
  <c r="W182" i="19"/>
  <c r="R182" i="19"/>
  <c r="L182" i="19"/>
  <c r="A182" i="19"/>
  <c r="AC265" i="18"/>
  <c r="E181" i="19" s="1"/>
  <c r="AC180" i="19"/>
  <c r="Z180" i="19"/>
  <c r="W180" i="19"/>
  <c r="R180" i="19"/>
  <c r="L180" i="19"/>
  <c r="A180" i="19"/>
  <c r="AC264" i="18"/>
  <c r="E179" i="19"/>
  <c r="AC178" i="19"/>
  <c r="Z178" i="19"/>
  <c r="W178" i="19"/>
  <c r="R178" i="19"/>
  <c r="L178" i="19"/>
  <c r="A178" i="19"/>
  <c r="R177" i="19"/>
  <c r="L177" i="19"/>
  <c r="K176" i="19"/>
  <c r="A174" i="19"/>
  <c r="AE170" i="19"/>
  <c r="AE116" i="19"/>
  <c r="AE117" i="19"/>
  <c r="AE118" i="19"/>
  <c r="AE119" i="19"/>
  <c r="AE120" i="19"/>
  <c r="AE121" i="19"/>
  <c r="AC170" i="19"/>
  <c r="AC116" i="19"/>
  <c r="AC117" i="19"/>
  <c r="AC118" i="19"/>
  <c r="AC119" i="19"/>
  <c r="AC120" i="19"/>
  <c r="AC121" i="19"/>
  <c r="AB170" i="19"/>
  <c r="AB116" i="19"/>
  <c r="AB117" i="19"/>
  <c r="AB118" i="19"/>
  <c r="AB119" i="19"/>
  <c r="AB120" i="19"/>
  <c r="AB121" i="19"/>
  <c r="Z170" i="19"/>
  <c r="Z116" i="19"/>
  <c r="Z117" i="19"/>
  <c r="Z118" i="19"/>
  <c r="Z119" i="19"/>
  <c r="Z120" i="19"/>
  <c r="Z121" i="19"/>
  <c r="Y170" i="19"/>
  <c r="Y116" i="19"/>
  <c r="Y117" i="19"/>
  <c r="Y118" i="19"/>
  <c r="Y119" i="19"/>
  <c r="Y120" i="19"/>
  <c r="Y121" i="19"/>
  <c r="W170" i="19"/>
  <c r="W116" i="19"/>
  <c r="W117" i="19"/>
  <c r="W118" i="19"/>
  <c r="W119" i="19"/>
  <c r="W120" i="19"/>
  <c r="W121" i="19"/>
  <c r="V170" i="19"/>
  <c r="V116" i="19"/>
  <c r="V117" i="19"/>
  <c r="V118" i="19"/>
  <c r="V119" i="19"/>
  <c r="V120" i="19"/>
  <c r="V121" i="19"/>
  <c r="T170" i="19"/>
  <c r="T116" i="19"/>
  <c r="T117" i="19"/>
  <c r="T118" i="19"/>
  <c r="T119" i="19"/>
  <c r="T120" i="19"/>
  <c r="T121" i="19"/>
  <c r="S170" i="19"/>
  <c r="S116" i="19"/>
  <c r="S117" i="19"/>
  <c r="S118" i="19"/>
  <c r="S119" i="19"/>
  <c r="S120" i="19"/>
  <c r="S121" i="19"/>
  <c r="Q170" i="19"/>
  <c r="Q116" i="19"/>
  <c r="Q117" i="19"/>
  <c r="Q118" i="19"/>
  <c r="Q119" i="19"/>
  <c r="Q120" i="19"/>
  <c r="Q121" i="19"/>
  <c r="P170" i="19"/>
  <c r="P116" i="19"/>
  <c r="P117" i="19"/>
  <c r="P118" i="19"/>
  <c r="P119" i="19"/>
  <c r="P120" i="19"/>
  <c r="P121" i="19"/>
  <c r="N170" i="19"/>
  <c r="N116" i="19"/>
  <c r="N117" i="19"/>
  <c r="N118" i="19"/>
  <c r="N119" i="19"/>
  <c r="N120" i="19"/>
  <c r="N121" i="19"/>
  <c r="M170" i="19"/>
  <c r="M116" i="19"/>
  <c r="M117" i="19"/>
  <c r="M118" i="19"/>
  <c r="M119" i="19"/>
  <c r="M120" i="19"/>
  <c r="M121" i="19"/>
  <c r="K170" i="19"/>
  <c r="K116" i="19"/>
  <c r="K117" i="19"/>
  <c r="K118" i="19"/>
  <c r="K119" i="19"/>
  <c r="K120" i="19"/>
  <c r="K121" i="19"/>
  <c r="E159" i="19"/>
  <c r="E149" i="19"/>
  <c r="G149" i="19"/>
  <c r="E116" i="19"/>
  <c r="E117" i="19"/>
  <c r="E118" i="19"/>
  <c r="E119" i="19"/>
  <c r="E120" i="19"/>
  <c r="E150" i="19"/>
  <c r="G150" i="19"/>
  <c r="E151" i="19"/>
  <c r="G116" i="19"/>
  <c r="G117" i="19"/>
  <c r="G118" i="19"/>
  <c r="G119" i="19"/>
  <c r="G120" i="19"/>
  <c r="G151" i="19"/>
  <c r="E152" i="19"/>
  <c r="G152" i="19"/>
  <c r="E153" i="19"/>
  <c r="G153" i="19"/>
  <c r="F156" i="19"/>
  <c r="G159" i="19"/>
  <c r="B159" i="19"/>
  <c r="D159" i="19"/>
  <c r="M266" i="18"/>
  <c r="E97" i="19" s="1"/>
  <c r="G121" i="19"/>
  <c r="E121" i="19"/>
  <c r="J116" i="19"/>
  <c r="J117" i="19"/>
  <c r="J118" i="19"/>
  <c r="J119" i="19"/>
  <c r="J120" i="19"/>
  <c r="J121" i="19"/>
  <c r="E157" i="19"/>
  <c r="G157" i="19"/>
  <c r="B116" i="19"/>
  <c r="B117" i="19"/>
  <c r="B118" i="19"/>
  <c r="B119" i="19"/>
  <c r="B120" i="19"/>
  <c r="B149" i="19"/>
  <c r="D149" i="19"/>
  <c r="B150" i="19"/>
  <c r="D116" i="19"/>
  <c r="D117" i="19"/>
  <c r="D118" i="19"/>
  <c r="D119" i="19"/>
  <c r="D120" i="19"/>
  <c r="D150" i="19"/>
  <c r="B151" i="19"/>
  <c r="D151" i="19"/>
  <c r="B152" i="19"/>
  <c r="D152" i="19"/>
  <c r="B153" i="19"/>
  <c r="D153" i="19"/>
  <c r="C156" i="19"/>
  <c r="B157" i="19"/>
  <c r="D157" i="19"/>
  <c r="M264" i="18"/>
  <c r="E93" i="19"/>
  <c r="B164" i="19"/>
  <c r="B121" i="19"/>
  <c r="D121" i="19"/>
  <c r="H116" i="19"/>
  <c r="H117" i="19"/>
  <c r="H118" i="19"/>
  <c r="H119" i="19"/>
  <c r="H120" i="19"/>
  <c r="H121" i="19"/>
  <c r="B158" i="19"/>
  <c r="D158" i="19"/>
  <c r="M265" i="18"/>
  <c r="E95" i="19" s="1"/>
  <c r="AC161" i="19"/>
  <c r="AE161" i="19"/>
  <c r="Z161" i="19"/>
  <c r="AB161" i="19"/>
  <c r="W161" i="19"/>
  <c r="Y161" i="19"/>
  <c r="T161" i="19"/>
  <c r="V161" i="19"/>
  <c r="Q161" i="19"/>
  <c r="S161" i="19"/>
  <c r="N161" i="19"/>
  <c r="P161" i="19"/>
  <c r="K161" i="19"/>
  <c r="M161" i="19"/>
  <c r="H161" i="19"/>
  <c r="J161" i="19"/>
  <c r="E161" i="19"/>
  <c r="G161" i="19"/>
  <c r="B161" i="19"/>
  <c r="D161" i="19"/>
  <c r="E101" i="19"/>
  <c r="B168" i="19"/>
  <c r="C168" i="19"/>
  <c r="D168" i="19" s="1"/>
  <c r="G168" i="19" s="1"/>
  <c r="J168" i="19" s="1"/>
  <c r="M168" i="19" s="1"/>
  <c r="P168" i="19" s="1"/>
  <c r="S168" i="19" s="1"/>
  <c r="V168" i="19" s="1"/>
  <c r="Y168" i="19" s="1"/>
  <c r="AB168" i="19" s="1"/>
  <c r="AE168" i="19" s="1"/>
  <c r="AU168" i="19" s="1"/>
  <c r="AT168" i="19"/>
  <c r="AC160" i="19"/>
  <c r="AE160" i="19"/>
  <c r="Z160" i="19"/>
  <c r="AB160" i="19"/>
  <c r="W160" i="19"/>
  <c r="Y160" i="19"/>
  <c r="T160" i="19"/>
  <c r="V160" i="19"/>
  <c r="Q160" i="19"/>
  <c r="S160" i="19"/>
  <c r="N160" i="19"/>
  <c r="P160" i="19"/>
  <c r="K160" i="19"/>
  <c r="M160" i="19"/>
  <c r="H160" i="19"/>
  <c r="J160" i="19"/>
  <c r="E160" i="19"/>
  <c r="G160" i="19"/>
  <c r="B160" i="19"/>
  <c r="D160" i="19"/>
  <c r="E99" i="19"/>
  <c r="B167" i="19" s="1"/>
  <c r="AC159" i="19"/>
  <c r="AE159" i="19"/>
  <c r="Z159" i="19"/>
  <c r="AB159" i="19"/>
  <c r="W159" i="19"/>
  <c r="Y159" i="19"/>
  <c r="T159" i="19"/>
  <c r="V159" i="19"/>
  <c r="Q159" i="19"/>
  <c r="S159" i="19"/>
  <c r="N159" i="19"/>
  <c r="P159" i="19"/>
  <c r="K159" i="19"/>
  <c r="M159" i="19"/>
  <c r="H159" i="19"/>
  <c r="H149" i="19"/>
  <c r="J149" i="19"/>
  <c r="H150" i="19"/>
  <c r="J150" i="19"/>
  <c r="H151" i="19"/>
  <c r="J151" i="19"/>
  <c r="H152" i="19"/>
  <c r="J152" i="19"/>
  <c r="H153" i="19"/>
  <c r="J153" i="19"/>
  <c r="I156" i="19"/>
  <c r="J159" i="19"/>
  <c r="AC158" i="19"/>
  <c r="AE158" i="19"/>
  <c r="Z158" i="19"/>
  <c r="AB158" i="19"/>
  <c r="W158" i="19"/>
  <c r="Y158" i="19"/>
  <c r="T158" i="19"/>
  <c r="V158" i="19"/>
  <c r="Q158" i="19"/>
  <c r="S158" i="19"/>
  <c r="N158" i="19"/>
  <c r="P158" i="19"/>
  <c r="K158" i="19"/>
  <c r="M158" i="19"/>
  <c r="H158" i="19"/>
  <c r="J158" i="19"/>
  <c r="E158" i="19"/>
  <c r="G158" i="19"/>
  <c r="AC157" i="19"/>
  <c r="AE157" i="19"/>
  <c r="Z157" i="19"/>
  <c r="AB157" i="19"/>
  <c r="W157" i="19"/>
  <c r="Y157" i="19"/>
  <c r="T157" i="19"/>
  <c r="V157" i="19"/>
  <c r="Q157" i="19"/>
  <c r="S157" i="19"/>
  <c r="N157" i="19"/>
  <c r="P157" i="19"/>
  <c r="K157" i="19"/>
  <c r="M157" i="19"/>
  <c r="H157" i="19"/>
  <c r="J157" i="19"/>
  <c r="AT164" i="19"/>
  <c r="AF161" i="19"/>
  <c r="AF160" i="19"/>
  <c r="AF159" i="19"/>
  <c r="AF158" i="19"/>
  <c r="AF157" i="19"/>
  <c r="AC149" i="19"/>
  <c r="AE149" i="19"/>
  <c r="AC150" i="19"/>
  <c r="AE150" i="19"/>
  <c r="AC151" i="19"/>
  <c r="AE151" i="19"/>
  <c r="AC152" i="19"/>
  <c r="AE152" i="19"/>
  <c r="AC153" i="19"/>
  <c r="AE153" i="19"/>
  <c r="AD156" i="19"/>
  <c r="Z149" i="19"/>
  <c r="AB149" i="19"/>
  <c r="Z150" i="19"/>
  <c r="AB150" i="19"/>
  <c r="Z151" i="19"/>
  <c r="AB151" i="19"/>
  <c r="Z152" i="19"/>
  <c r="AB152" i="19"/>
  <c r="Z153" i="19"/>
  <c r="AB153" i="19"/>
  <c r="AA156" i="19"/>
  <c r="W149" i="19"/>
  <c r="Y149" i="19"/>
  <c r="W150" i="19"/>
  <c r="Y150" i="19"/>
  <c r="W151" i="19"/>
  <c r="Y151" i="19"/>
  <c r="W152" i="19"/>
  <c r="Y152" i="19"/>
  <c r="W153" i="19"/>
  <c r="Y153" i="19"/>
  <c r="X156" i="19"/>
  <c r="T149" i="19"/>
  <c r="V149" i="19"/>
  <c r="T150" i="19"/>
  <c r="V150" i="19"/>
  <c r="T151" i="19"/>
  <c r="V151" i="19"/>
  <c r="T152" i="19"/>
  <c r="V152" i="19"/>
  <c r="T153" i="19"/>
  <c r="V153" i="19"/>
  <c r="U156" i="19"/>
  <c r="Q149" i="19"/>
  <c r="S149" i="19"/>
  <c r="Q150" i="19"/>
  <c r="S150" i="19"/>
  <c r="Q151" i="19"/>
  <c r="S151" i="19"/>
  <c r="Q152" i="19"/>
  <c r="S152" i="19"/>
  <c r="Q153" i="19"/>
  <c r="S153" i="19"/>
  <c r="R156" i="19"/>
  <c r="N149" i="19"/>
  <c r="P149" i="19"/>
  <c r="N150" i="19"/>
  <c r="P150" i="19"/>
  <c r="N151" i="19"/>
  <c r="P151" i="19"/>
  <c r="N152" i="19"/>
  <c r="P152" i="19"/>
  <c r="N153" i="19"/>
  <c r="P153" i="19"/>
  <c r="O156" i="19"/>
  <c r="K149" i="19"/>
  <c r="M149" i="19"/>
  <c r="K150" i="19"/>
  <c r="M150" i="19"/>
  <c r="K151" i="19"/>
  <c r="M151" i="19"/>
  <c r="K152" i="19"/>
  <c r="M152" i="19"/>
  <c r="K153" i="19"/>
  <c r="M153" i="19"/>
  <c r="L156" i="19"/>
  <c r="AF153" i="19"/>
  <c r="AG153" i="19"/>
  <c r="AF152" i="19"/>
  <c r="AG152" i="19"/>
  <c r="AF151" i="19"/>
  <c r="AG151" i="19"/>
  <c r="AF150" i="19"/>
  <c r="AG150" i="19"/>
  <c r="AF149" i="19"/>
  <c r="AG149" i="19"/>
  <c r="B147" i="19"/>
  <c r="D147" i="19"/>
  <c r="E147" i="19"/>
  <c r="G147" i="19"/>
  <c r="H147" i="19"/>
  <c r="J147" i="19"/>
  <c r="K147" i="19"/>
  <c r="M147" i="19"/>
  <c r="N147" i="19"/>
  <c r="P147" i="19"/>
  <c r="Q147" i="19"/>
  <c r="S147" i="19"/>
  <c r="T147" i="19"/>
  <c r="V147" i="19"/>
  <c r="W147" i="19"/>
  <c r="Y147" i="19"/>
  <c r="Z147" i="19"/>
  <c r="AB147" i="19"/>
  <c r="AC147" i="19"/>
  <c r="AE147" i="19"/>
  <c r="AF147" i="19"/>
  <c r="B146" i="19"/>
  <c r="D146" i="19"/>
  <c r="E146" i="19"/>
  <c r="G146" i="19"/>
  <c r="H146" i="19"/>
  <c r="J146" i="19"/>
  <c r="K146" i="19"/>
  <c r="M146" i="19"/>
  <c r="N146" i="19"/>
  <c r="P146" i="19"/>
  <c r="Q146" i="19"/>
  <c r="S146" i="19"/>
  <c r="T146" i="19"/>
  <c r="V146" i="19"/>
  <c r="W146" i="19"/>
  <c r="Y146" i="19"/>
  <c r="Z146" i="19"/>
  <c r="AB146" i="19"/>
  <c r="AC146" i="19"/>
  <c r="AE146" i="19"/>
  <c r="AF146" i="19"/>
  <c r="B145" i="19"/>
  <c r="D145" i="19"/>
  <c r="E145" i="19"/>
  <c r="E124" i="19"/>
  <c r="G124" i="19"/>
  <c r="E125" i="19"/>
  <c r="G125" i="19"/>
  <c r="E126" i="19"/>
  <c r="G126" i="19"/>
  <c r="E127" i="19"/>
  <c r="G127" i="19"/>
  <c r="E128" i="19"/>
  <c r="G128" i="19"/>
  <c r="E129" i="19"/>
  <c r="G145" i="19"/>
  <c r="H145" i="19"/>
  <c r="H124" i="19"/>
  <c r="J124" i="19"/>
  <c r="H125" i="19"/>
  <c r="J125" i="19"/>
  <c r="H126" i="19"/>
  <c r="J126" i="19"/>
  <c r="H127" i="19"/>
  <c r="J127" i="19"/>
  <c r="H128" i="19"/>
  <c r="J128" i="19"/>
  <c r="H129" i="19"/>
  <c r="J145" i="19"/>
  <c r="K145" i="19"/>
  <c r="M145" i="19"/>
  <c r="N145" i="19"/>
  <c r="P145" i="19"/>
  <c r="Q145" i="19"/>
  <c r="S145" i="19"/>
  <c r="T145" i="19"/>
  <c r="V145" i="19"/>
  <c r="W145" i="19"/>
  <c r="Y145" i="19"/>
  <c r="Z145" i="19"/>
  <c r="AB145" i="19"/>
  <c r="AC145" i="19"/>
  <c r="AE145" i="19"/>
  <c r="AF145" i="19"/>
  <c r="B144" i="19"/>
  <c r="B124" i="19"/>
  <c r="D124" i="19"/>
  <c r="B125" i="19"/>
  <c r="D125" i="19"/>
  <c r="B126" i="19"/>
  <c r="D126" i="19"/>
  <c r="B127" i="19"/>
  <c r="D127" i="19"/>
  <c r="B128" i="19"/>
  <c r="D128" i="19"/>
  <c r="B129" i="19"/>
  <c r="D144" i="19"/>
  <c r="E144" i="19"/>
  <c r="G144" i="19"/>
  <c r="H144" i="19"/>
  <c r="J144" i="19"/>
  <c r="K144" i="19"/>
  <c r="M144" i="19"/>
  <c r="N144" i="19"/>
  <c r="P144" i="19"/>
  <c r="Q144" i="19"/>
  <c r="S144" i="19"/>
  <c r="T144" i="19"/>
  <c r="V144" i="19"/>
  <c r="W144" i="19"/>
  <c r="Y144" i="19"/>
  <c r="Z144" i="19"/>
  <c r="AB144" i="19"/>
  <c r="AC144" i="19"/>
  <c r="AE144" i="19"/>
  <c r="AF144" i="19"/>
  <c r="B143" i="19"/>
  <c r="D143" i="19"/>
  <c r="E143" i="19"/>
  <c r="G143" i="19"/>
  <c r="H143" i="19"/>
  <c r="J143" i="19"/>
  <c r="K143" i="19"/>
  <c r="M143" i="19"/>
  <c r="N143" i="19"/>
  <c r="P143" i="19"/>
  <c r="Q143" i="19"/>
  <c r="S143" i="19"/>
  <c r="T143" i="19"/>
  <c r="V143" i="19"/>
  <c r="W143" i="19"/>
  <c r="Y143" i="19"/>
  <c r="Z143" i="19"/>
  <c r="AB143" i="19"/>
  <c r="AC143" i="19"/>
  <c r="AE143" i="19"/>
  <c r="AF143" i="19"/>
  <c r="B141" i="19"/>
  <c r="D141" i="19"/>
  <c r="E141" i="19"/>
  <c r="G141" i="19"/>
  <c r="H141" i="19"/>
  <c r="J141" i="19"/>
  <c r="K141" i="19"/>
  <c r="M141" i="19"/>
  <c r="N141" i="19"/>
  <c r="P141" i="19"/>
  <c r="Q141" i="19"/>
  <c r="S141" i="19"/>
  <c r="T141" i="19"/>
  <c r="V141" i="19"/>
  <c r="W141" i="19"/>
  <c r="Y141" i="19"/>
  <c r="Z141" i="19"/>
  <c r="AB141" i="19"/>
  <c r="AC141" i="19"/>
  <c r="AE141" i="19"/>
  <c r="AF141" i="19"/>
  <c r="B140" i="19"/>
  <c r="D140" i="19"/>
  <c r="E140" i="19"/>
  <c r="G140" i="19"/>
  <c r="H140" i="19"/>
  <c r="J140" i="19"/>
  <c r="K140" i="19"/>
  <c r="M140" i="19"/>
  <c r="N140" i="19"/>
  <c r="P140" i="19"/>
  <c r="Q140" i="19"/>
  <c r="S140" i="19"/>
  <c r="T140" i="19"/>
  <c r="V140" i="19"/>
  <c r="W140" i="19"/>
  <c r="Y140" i="19"/>
  <c r="Z140" i="19"/>
  <c r="AB140" i="19"/>
  <c r="AC140" i="19"/>
  <c r="AE140" i="19"/>
  <c r="AF140" i="19"/>
  <c r="B139" i="19"/>
  <c r="D139" i="19"/>
  <c r="E139" i="19"/>
  <c r="E122" i="19"/>
  <c r="G122" i="19"/>
  <c r="F122" i="19"/>
  <c r="G139" i="19"/>
  <c r="H139" i="19"/>
  <c r="H122" i="19"/>
  <c r="J122" i="19"/>
  <c r="I122" i="19"/>
  <c r="J139" i="19"/>
  <c r="K139" i="19"/>
  <c r="M139" i="19"/>
  <c r="N139" i="19"/>
  <c r="P139" i="19"/>
  <c r="Q139" i="19"/>
  <c r="S139" i="19"/>
  <c r="T139" i="19"/>
  <c r="V139" i="19"/>
  <c r="W139" i="19"/>
  <c r="Y139" i="19"/>
  <c r="Z139" i="19"/>
  <c r="AB139" i="19"/>
  <c r="AC139" i="19"/>
  <c r="AE139" i="19"/>
  <c r="AF139" i="19"/>
  <c r="B138" i="19"/>
  <c r="B122" i="19"/>
  <c r="D122" i="19"/>
  <c r="C122" i="19"/>
  <c r="D138" i="19"/>
  <c r="E138" i="19"/>
  <c r="G138" i="19"/>
  <c r="H138" i="19"/>
  <c r="J138" i="19"/>
  <c r="K138" i="19"/>
  <c r="M138" i="19"/>
  <c r="N138" i="19"/>
  <c r="P138" i="19"/>
  <c r="Q138" i="19"/>
  <c r="S138" i="19"/>
  <c r="T138" i="19"/>
  <c r="V138" i="19"/>
  <c r="W138" i="19"/>
  <c r="Y138" i="19"/>
  <c r="Z138" i="19"/>
  <c r="AB138" i="19"/>
  <c r="AC138" i="19"/>
  <c r="AE138" i="19"/>
  <c r="AF138" i="19"/>
  <c r="B137" i="19"/>
  <c r="D137" i="19"/>
  <c r="E137" i="19"/>
  <c r="G137" i="19"/>
  <c r="H137" i="19"/>
  <c r="J137" i="19"/>
  <c r="K137" i="19"/>
  <c r="M137" i="19"/>
  <c r="N137" i="19"/>
  <c r="P137" i="19"/>
  <c r="Q137" i="19"/>
  <c r="S137" i="19"/>
  <c r="T137" i="19"/>
  <c r="V137" i="19"/>
  <c r="W137" i="19"/>
  <c r="Y137" i="19"/>
  <c r="Z137" i="19"/>
  <c r="AB137" i="19"/>
  <c r="AC137" i="19"/>
  <c r="AE137" i="19"/>
  <c r="AF137" i="19"/>
  <c r="B135" i="19"/>
  <c r="D135" i="19"/>
  <c r="E135" i="19"/>
  <c r="G135" i="19"/>
  <c r="H135" i="19"/>
  <c r="J135" i="19"/>
  <c r="K135" i="19"/>
  <c r="M135" i="19"/>
  <c r="N135" i="19"/>
  <c r="P135" i="19"/>
  <c r="Q135" i="19"/>
  <c r="S135" i="19"/>
  <c r="T135" i="19"/>
  <c r="V135" i="19"/>
  <c r="W135" i="19"/>
  <c r="Y135" i="19"/>
  <c r="Z135" i="19"/>
  <c r="AB135" i="19"/>
  <c r="AC135" i="19"/>
  <c r="AE135" i="19"/>
  <c r="AF135" i="19"/>
  <c r="AG135" i="19"/>
  <c r="B134" i="19"/>
  <c r="D134" i="19"/>
  <c r="E134" i="19"/>
  <c r="G134" i="19"/>
  <c r="H134" i="19"/>
  <c r="J134" i="19"/>
  <c r="K134" i="19"/>
  <c r="M134" i="19"/>
  <c r="N134" i="19"/>
  <c r="P134" i="19"/>
  <c r="Q134" i="19"/>
  <c r="S134" i="19"/>
  <c r="T134" i="19"/>
  <c r="V134" i="19"/>
  <c r="W134" i="19"/>
  <c r="Y134" i="19"/>
  <c r="Z134" i="19"/>
  <c r="AB134" i="19"/>
  <c r="AC134" i="19"/>
  <c r="AE134" i="19"/>
  <c r="AF134" i="19"/>
  <c r="AG134" i="19"/>
  <c r="B133" i="19"/>
  <c r="D133" i="19"/>
  <c r="E133" i="19"/>
  <c r="G133" i="19"/>
  <c r="H133" i="19"/>
  <c r="J133" i="19"/>
  <c r="K133" i="19"/>
  <c r="M133" i="19"/>
  <c r="N133" i="19"/>
  <c r="P133" i="19"/>
  <c r="Q133" i="19"/>
  <c r="S133" i="19"/>
  <c r="T133" i="19"/>
  <c r="V133" i="19"/>
  <c r="W133" i="19"/>
  <c r="Y133" i="19"/>
  <c r="Z133" i="19"/>
  <c r="AB133" i="19"/>
  <c r="AC133" i="19"/>
  <c r="AE133" i="19"/>
  <c r="AF133" i="19"/>
  <c r="AG133" i="19"/>
  <c r="B132" i="19"/>
  <c r="D132" i="19"/>
  <c r="E132" i="19"/>
  <c r="G132" i="19"/>
  <c r="H132" i="19"/>
  <c r="J132" i="19"/>
  <c r="K132" i="19"/>
  <c r="M132" i="19"/>
  <c r="N132" i="19"/>
  <c r="P132" i="19"/>
  <c r="Q132" i="19"/>
  <c r="S132" i="19"/>
  <c r="T132" i="19"/>
  <c r="V132" i="19"/>
  <c r="W132" i="19"/>
  <c r="Y132" i="19"/>
  <c r="Z132" i="19"/>
  <c r="AB132" i="19"/>
  <c r="AC132" i="19"/>
  <c r="AE132" i="19"/>
  <c r="AF132" i="19"/>
  <c r="AG132" i="19"/>
  <c r="B131" i="19"/>
  <c r="D131" i="19"/>
  <c r="E131" i="19"/>
  <c r="G131" i="19"/>
  <c r="H131" i="19"/>
  <c r="J131" i="19"/>
  <c r="K131" i="19"/>
  <c r="M131" i="19"/>
  <c r="N131" i="19"/>
  <c r="P131" i="19"/>
  <c r="Q131" i="19"/>
  <c r="S131" i="19"/>
  <c r="T131" i="19"/>
  <c r="V131" i="19"/>
  <c r="W131" i="19"/>
  <c r="Y131" i="19"/>
  <c r="Z131" i="19"/>
  <c r="AB131" i="19"/>
  <c r="AC131" i="19"/>
  <c r="AE131" i="19"/>
  <c r="AF131" i="19"/>
  <c r="AG131" i="19"/>
  <c r="AC124" i="19"/>
  <c r="AE124" i="19"/>
  <c r="AC125" i="19"/>
  <c r="AE125" i="19"/>
  <c r="AC126" i="19"/>
  <c r="AE126" i="19"/>
  <c r="AC127" i="19"/>
  <c r="AE127" i="19"/>
  <c r="AC128" i="19"/>
  <c r="AE128" i="19"/>
  <c r="AC129" i="19"/>
  <c r="Z124" i="19"/>
  <c r="AB124" i="19"/>
  <c r="Z125" i="19"/>
  <c r="AB125" i="19"/>
  <c r="Z126" i="19"/>
  <c r="AB126" i="19"/>
  <c r="Z127" i="19"/>
  <c r="AB127" i="19"/>
  <c r="Z128" i="19"/>
  <c r="AB128" i="19"/>
  <c r="Z129" i="19"/>
  <c r="W124" i="19"/>
  <c r="Y124" i="19"/>
  <c r="W125" i="19"/>
  <c r="Y125" i="19"/>
  <c r="W126" i="19"/>
  <c r="Y126" i="19"/>
  <c r="W127" i="19"/>
  <c r="Y127" i="19"/>
  <c r="W128" i="19"/>
  <c r="Y128" i="19"/>
  <c r="W129" i="19"/>
  <c r="T124" i="19"/>
  <c r="V124" i="19"/>
  <c r="T125" i="19"/>
  <c r="V125" i="19"/>
  <c r="T126" i="19"/>
  <c r="V126" i="19"/>
  <c r="T127" i="19"/>
  <c r="V127" i="19"/>
  <c r="T128" i="19"/>
  <c r="V128" i="19"/>
  <c r="T129" i="19"/>
  <c r="Q124" i="19"/>
  <c r="S124" i="19"/>
  <c r="Q125" i="19"/>
  <c r="S125" i="19"/>
  <c r="Q126" i="19"/>
  <c r="S126" i="19"/>
  <c r="Q127" i="19"/>
  <c r="S127" i="19"/>
  <c r="Q128" i="19"/>
  <c r="S128" i="19"/>
  <c r="Q129" i="19"/>
  <c r="N124" i="19"/>
  <c r="P124" i="19"/>
  <c r="N125" i="19"/>
  <c r="P125" i="19"/>
  <c r="N126" i="19"/>
  <c r="P126" i="19"/>
  <c r="N127" i="19"/>
  <c r="P127" i="19"/>
  <c r="N128" i="19"/>
  <c r="P128" i="19"/>
  <c r="N129" i="19"/>
  <c r="K124" i="19"/>
  <c r="M124" i="19"/>
  <c r="K125" i="19"/>
  <c r="M125" i="19"/>
  <c r="K126" i="19"/>
  <c r="M126" i="19"/>
  <c r="K127" i="19"/>
  <c r="M127" i="19"/>
  <c r="K128" i="19"/>
  <c r="M128" i="19"/>
  <c r="K129" i="19"/>
  <c r="AE122" i="19"/>
  <c r="AC122" i="19"/>
  <c r="AD122" i="19"/>
  <c r="AB122" i="19"/>
  <c r="Z122" i="19"/>
  <c r="AA122" i="19"/>
  <c r="Y122" i="19"/>
  <c r="W122" i="19"/>
  <c r="X122" i="19"/>
  <c r="V122" i="19"/>
  <c r="T122" i="19"/>
  <c r="U122" i="19"/>
  <c r="S122" i="19"/>
  <c r="Q122" i="19"/>
  <c r="R122" i="19"/>
  <c r="P122" i="19"/>
  <c r="N122" i="19"/>
  <c r="O122" i="19"/>
  <c r="M122" i="19"/>
  <c r="K122" i="19"/>
  <c r="L122" i="19"/>
  <c r="AE115" i="19"/>
  <c r="AC115" i="19"/>
  <c r="AB115" i="19"/>
  <c r="Z115" i="19"/>
  <c r="Y115" i="19"/>
  <c r="W115" i="19"/>
  <c r="V115" i="19"/>
  <c r="T115" i="19"/>
  <c r="S115" i="19"/>
  <c r="Q115" i="19"/>
  <c r="P115" i="19"/>
  <c r="N115" i="19"/>
  <c r="M115" i="19"/>
  <c r="K115" i="19"/>
  <c r="J115" i="19"/>
  <c r="H115" i="19"/>
  <c r="G115" i="19"/>
  <c r="E115" i="19"/>
  <c r="D115" i="19"/>
  <c r="B115" i="19"/>
  <c r="AD114" i="19"/>
  <c r="AA114" i="19"/>
  <c r="X114" i="19"/>
  <c r="U114" i="19"/>
  <c r="R114" i="19"/>
  <c r="O114" i="19"/>
  <c r="L114" i="19"/>
  <c r="I114" i="19"/>
  <c r="F114" i="19"/>
  <c r="A114" i="19"/>
  <c r="AG113" i="19"/>
  <c r="AH113" i="19"/>
  <c r="AI113" i="19"/>
  <c r="AJ113" i="19"/>
  <c r="AK113" i="19"/>
  <c r="AL113" i="19"/>
  <c r="AM113" i="19"/>
  <c r="AN113" i="19"/>
  <c r="AO113" i="19"/>
  <c r="AP113" i="19"/>
  <c r="AQ113" i="19"/>
  <c r="AF113" i="19"/>
  <c r="AD113" i="19"/>
  <c r="AA113" i="19"/>
  <c r="X113" i="19"/>
  <c r="U113" i="19"/>
  <c r="R113" i="19"/>
  <c r="O113" i="19"/>
  <c r="L113" i="19"/>
  <c r="I113" i="19"/>
  <c r="F113" i="19"/>
  <c r="A113" i="19"/>
  <c r="AG112" i="19"/>
  <c r="AH112" i="19"/>
  <c r="AI112" i="19"/>
  <c r="AJ112" i="19"/>
  <c r="AK112" i="19"/>
  <c r="AL112" i="19"/>
  <c r="AM112" i="19"/>
  <c r="AN112" i="19"/>
  <c r="AO112" i="19"/>
  <c r="AP112" i="19"/>
  <c r="AQ112" i="19"/>
  <c r="AF112" i="19"/>
  <c r="AD112" i="19"/>
  <c r="AA112" i="19"/>
  <c r="X112" i="19"/>
  <c r="U112" i="19"/>
  <c r="R112" i="19"/>
  <c r="O112" i="19"/>
  <c r="L112" i="19"/>
  <c r="I112" i="19"/>
  <c r="F112" i="19"/>
  <c r="A112" i="19"/>
  <c r="AG111" i="19"/>
  <c r="AH111" i="19"/>
  <c r="AI111" i="19"/>
  <c r="AJ111" i="19"/>
  <c r="AK111" i="19"/>
  <c r="AL111" i="19"/>
  <c r="AM111" i="19"/>
  <c r="AN111" i="19"/>
  <c r="AO111" i="19"/>
  <c r="AP111" i="19"/>
  <c r="AQ111" i="19"/>
  <c r="AF111" i="19"/>
  <c r="AD111" i="19"/>
  <c r="AA111" i="19"/>
  <c r="X111" i="19"/>
  <c r="U111" i="19"/>
  <c r="R111" i="19"/>
  <c r="O111" i="19"/>
  <c r="L111" i="19"/>
  <c r="I111" i="19"/>
  <c r="F111" i="19"/>
  <c r="A111" i="19"/>
  <c r="AG110" i="19"/>
  <c r="AH110" i="19"/>
  <c r="AI110" i="19"/>
  <c r="AJ110" i="19"/>
  <c r="AK110" i="19"/>
  <c r="AL110" i="19"/>
  <c r="AM110" i="19"/>
  <c r="AN110" i="19"/>
  <c r="AO110" i="19"/>
  <c r="AP110" i="19"/>
  <c r="AQ110" i="19"/>
  <c r="AF110" i="19"/>
  <c r="AD110" i="19"/>
  <c r="AA110" i="19"/>
  <c r="X110" i="19"/>
  <c r="U110" i="19"/>
  <c r="R110" i="19"/>
  <c r="O110" i="19"/>
  <c r="L110" i="19"/>
  <c r="I110" i="19"/>
  <c r="F110" i="19"/>
  <c r="AG109" i="19"/>
  <c r="AH109" i="19"/>
  <c r="AI109" i="19"/>
  <c r="AJ109" i="19"/>
  <c r="AK109" i="19"/>
  <c r="AL109" i="19"/>
  <c r="AM109" i="19"/>
  <c r="AN109" i="19"/>
  <c r="AO109" i="19"/>
  <c r="AP109" i="19"/>
  <c r="AQ109" i="19"/>
  <c r="AF109" i="19"/>
  <c r="AD109" i="19"/>
  <c r="AA109" i="19"/>
  <c r="X109" i="19"/>
  <c r="U109" i="19"/>
  <c r="R109" i="19"/>
  <c r="O109" i="19"/>
  <c r="L109" i="19"/>
  <c r="I109" i="19"/>
  <c r="F109" i="19"/>
  <c r="AC107" i="19"/>
  <c r="Z107" i="19"/>
  <c r="W107" i="19"/>
  <c r="T107" i="19"/>
  <c r="Q107" i="19"/>
  <c r="N107" i="19"/>
  <c r="K107" i="19"/>
  <c r="H107" i="19"/>
  <c r="E107" i="19"/>
  <c r="E102" i="19"/>
  <c r="AC101" i="19"/>
  <c r="Z101" i="19"/>
  <c r="W101" i="19"/>
  <c r="R101" i="19"/>
  <c r="L101" i="19"/>
  <c r="A101" i="19"/>
  <c r="E100" i="19"/>
  <c r="AC99" i="19"/>
  <c r="Z99" i="19"/>
  <c r="W99" i="19"/>
  <c r="R99" i="19"/>
  <c r="L99" i="19"/>
  <c r="A99" i="19"/>
  <c r="R266" i="18"/>
  <c r="E98" i="19" s="1"/>
  <c r="F265" i="19" s="1"/>
  <c r="AC97" i="19"/>
  <c r="Z97" i="19"/>
  <c r="W97" i="19"/>
  <c r="R97" i="19"/>
  <c r="L97" i="19"/>
  <c r="A97" i="19"/>
  <c r="R265" i="18"/>
  <c r="E96" i="19" s="1"/>
  <c r="AC265" i="19" s="1"/>
  <c r="AC95" i="19"/>
  <c r="Z95" i="19"/>
  <c r="W95" i="19"/>
  <c r="R95" i="19"/>
  <c r="L95" i="19"/>
  <c r="A95" i="19"/>
  <c r="R264" i="18"/>
  <c r="E94" i="19"/>
  <c r="AC93" i="19"/>
  <c r="Z93" i="19"/>
  <c r="W93" i="19"/>
  <c r="R93" i="19"/>
  <c r="L93" i="19"/>
  <c r="A93" i="19"/>
  <c r="R92" i="19"/>
  <c r="L92" i="19"/>
  <c r="K91" i="19"/>
  <c r="A89" i="19"/>
  <c r="AE85" i="19"/>
  <c r="AE31" i="19"/>
  <c r="AE32" i="19"/>
  <c r="AE33" i="19"/>
  <c r="AE34" i="19"/>
  <c r="AE35" i="19"/>
  <c r="AE36" i="19"/>
  <c r="AC85" i="19"/>
  <c r="AC31" i="19"/>
  <c r="AC32" i="19"/>
  <c r="AC33" i="19"/>
  <c r="AC34" i="19"/>
  <c r="AC35" i="19"/>
  <c r="AC36" i="19"/>
  <c r="AB85" i="19"/>
  <c r="AB31" i="19"/>
  <c r="AB32" i="19"/>
  <c r="AB33" i="19"/>
  <c r="AB34" i="19"/>
  <c r="AB35" i="19"/>
  <c r="AB36" i="19"/>
  <c r="Z85" i="19"/>
  <c r="Z31" i="19"/>
  <c r="Z32" i="19"/>
  <c r="Z33" i="19"/>
  <c r="Z34" i="19"/>
  <c r="Z35" i="19"/>
  <c r="Z36" i="19"/>
  <c r="Y85" i="19"/>
  <c r="Y31" i="19"/>
  <c r="Y32" i="19"/>
  <c r="Y33" i="19"/>
  <c r="Y34" i="19"/>
  <c r="Y35" i="19"/>
  <c r="Y36" i="19"/>
  <c r="W85" i="19"/>
  <c r="W31" i="19"/>
  <c r="W32" i="19"/>
  <c r="W33" i="19"/>
  <c r="W34" i="19"/>
  <c r="W35" i="19"/>
  <c r="W36" i="19"/>
  <c r="V85" i="19"/>
  <c r="V31" i="19"/>
  <c r="V32" i="19"/>
  <c r="V33" i="19"/>
  <c r="V34" i="19"/>
  <c r="V35" i="19"/>
  <c r="V36" i="19"/>
  <c r="T85" i="19"/>
  <c r="T31" i="19"/>
  <c r="T32" i="19"/>
  <c r="T33" i="19"/>
  <c r="T34" i="19"/>
  <c r="T35" i="19"/>
  <c r="T36" i="19"/>
  <c r="S85" i="19"/>
  <c r="S31" i="19"/>
  <c r="S32" i="19"/>
  <c r="S33" i="19"/>
  <c r="S34" i="19"/>
  <c r="S35" i="19"/>
  <c r="S36" i="19"/>
  <c r="Q85" i="19"/>
  <c r="Q31" i="19"/>
  <c r="Q32" i="19"/>
  <c r="Q33" i="19"/>
  <c r="Q34" i="19"/>
  <c r="Q35" i="19"/>
  <c r="Q36" i="19"/>
  <c r="P85" i="19"/>
  <c r="P31" i="19"/>
  <c r="P32" i="19"/>
  <c r="P33" i="19"/>
  <c r="P34" i="19"/>
  <c r="P35" i="19"/>
  <c r="P36" i="19"/>
  <c r="N85" i="19"/>
  <c r="N31" i="19"/>
  <c r="N32" i="19"/>
  <c r="N33" i="19"/>
  <c r="N34" i="19"/>
  <c r="N35" i="19"/>
  <c r="N36" i="19"/>
  <c r="M85" i="19"/>
  <c r="M31" i="19"/>
  <c r="M32" i="19"/>
  <c r="M33" i="19"/>
  <c r="M34" i="19"/>
  <c r="M35" i="19"/>
  <c r="M36" i="19"/>
  <c r="K85" i="19"/>
  <c r="K31" i="19"/>
  <c r="K32" i="19"/>
  <c r="K33" i="19"/>
  <c r="K34" i="19"/>
  <c r="K35" i="19"/>
  <c r="K36" i="19"/>
  <c r="E74" i="19"/>
  <c r="E64" i="19"/>
  <c r="G64" i="19"/>
  <c r="E31" i="19"/>
  <c r="E32" i="19"/>
  <c r="E33" i="19"/>
  <c r="E34" i="19"/>
  <c r="E35" i="19"/>
  <c r="E65" i="19"/>
  <c r="G65" i="19"/>
  <c r="E66" i="19"/>
  <c r="G31" i="19"/>
  <c r="G32" i="19"/>
  <c r="G33" i="19"/>
  <c r="G34" i="19"/>
  <c r="G35" i="19"/>
  <c r="G66" i="19"/>
  <c r="E67" i="19"/>
  <c r="G67" i="19"/>
  <c r="E68" i="19"/>
  <c r="G68" i="19"/>
  <c r="F71" i="19"/>
  <c r="G74" i="19"/>
  <c r="B74" i="19"/>
  <c r="D74" i="19"/>
  <c r="B266" i="18"/>
  <c r="E12" i="19"/>
  <c r="B81" i="19" s="1"/>
  <c r="G36" i="19"/>
  <c r="E36" i="19"/>
  <c r="J31" i="19"/>
  <c r="J32" i="19"/>
  <c r="J33" i="19"/>
  <c r="J34" i="19"/>
  <c r="J35" i="19"/>
  <c r="J36" i="19"/>
  <c r="E72" i="19"/>
  <c r="G72" i="19"/>
  <c r="B31" i="19"/>
  <c r="B32" i="19"/>
  <c r="B33" i="19"/>
  <c r="B34" i="19"/>
  <c r="B35" i="19"/>
  <c r="B64" i="19"/>
  <c r="D64" i="19"/>
  <c r="B65" i="19"/>
  <c r="D31" i="19"/>
  <c r="D32" i="19"/>
  <c r="D33" i="19"/>
  <c r="D34" i="19"/>
  <c r="D35" i="19"/>
  <c r="D65" i="19"/>
  <c r="B66" i="19"/>
  <c r="D66" i="19"/>
  <c r="B67" i="19"/>
  <c r="D67" i="19"/>
  <c r="B68" i="19"/>
  <c r="D68" i="19"/>
  <c r="C71" i="19"/>
  <c r="B72" i="19"/>
  <c r="D72" i="19"/>
  <c r="B264" i="18"/>
  <c r="E8" i="19"/>
  <c r="B79" i="19"/>
  <c r="B36" i="19"/>
  <c r="D36" i="19"/>
  <c r="H31" i="19"/>
  <c r="H32" i="19"/>
  <c r="H33" i="19"/>
  <c r="H34" i="19"/>
  <c r="H35" i="19"/>
  <c r="H36" i="19"/>
  <c r="B73" i="19"/>
  <c r="D73" i="19"/>
  <c r="B265" i="18"/>
  <c r="E10" i="19" s="1"/>
  <c r="AC76" i="19"/>
  <c r="AE76" i="19"/>
  <c r="Z76" i="19"/>
  <c r="AB76" i="19"/>
  <c r="W76" i="19"/>
  <c r="Y76" i="19"/>
  <c r="T76" i="19"/>
  <c r="V76" i="19"/>
  <c r="Q76" i="19"/>
  <c r="S76" i="19"/>
  <c r="N76" i="19"/>
  <c r="P76" i="19"/>
  <c r="K76" i="19"/>
  <c r="M76" i="19"/>
  <c r="H76" i="19"/>
  <c r="J76" i="19"/>
  <c r="E76" i="19"/>
  <c r="G76" i="19"/>
  <c r="B76" i="19"/>
  <c r="D76" i="19"/>
  <c r="E16" i="19"/>
  <c r="B83" i="19"/>
  <c r="C83" i="19"/>
  <c r="D83" i="19" s="1"/>
  <c r="G83" i="19" s="1"/>
  <c r="J83" i="19" s="1"/>
  <c r="M83" i="19" s="1"/>
  <c r="P83" i="19" s="1"/>
  <c r="S83" i="19" s="1"/>
  <c r="V83" i="19" s="1"/>
  <c r="Y83" i="19" s="1"/>
  <c r="AB83" i="19" s="1"/>
  <c r="AE83" i="19" s="1"/>
  <c r="AU83" i="19" s="1"/>
  <c r="AT83" i="19"/>
  <c r="AC75" i="19"/>
  <c r="AE75" i="19"/>
  <c r="Z75" i="19"/>
  <c r="AB75" i="19"/>
  <c r="W75" i="19"/>
  <c r="Y75" i="19"/>
  <c r="T75" i="19"/>
  <c r="V75" i="19"/>
  <c r="Q75" i="19"/>
  <c r="S75" i="19"/>
  <c r="N75" i="19"/>
  <c r="P75" i="19"/>
  <c r="K75" i="19"/>
  <c r="M75" i="19"/>
  <c r="H75" i="19"/>
  <c r="J75" i="19"/>
  <c r="E75" i="19"/>
  <c r="G75" i="19"/>
  <c r="B75" i="19"/>
  <c r="D75" i="19"/>
  <c r="E14" i="19"/>
  <c r="B82" i="19"/>
  <c r="C82" i="19"/>
  <c r="D82" i="19" s="1"/>
  <c r="G82" i="19" s="1"/>
  <c r="J82" i="19" s="1"/>
  <c r="M82" i="19" s="1"/>
  <c r="P82" i="19" s="1"/>
  <c r="S82" i="19" s="1"/>
  <c r="V82" i="19" s="1"/>
  <c r="Y82" i="19" s="1"/>
  <c r="AB82" i="19" s="1"/>
  <c r="AE82" i="19" s="1"/>
  <c r="AU82" i="19" s="1"/>
  <c r="AT82" i="19"/>
  <c r="AC74" i="19"/>
  <c r="AE74" i="19"/>
  <c r="Z74" i="19"/>
  <c r="AB74" i="19"/>
  <c r="W74" i="19"/>
  <c r="Y74" i="19"/>
  <c r="T74" i="19"/>
  <c r="V74" i="19"/>
  <c r="Q74" i="19"/>
  <c r="S74" i="19"/>
  <c r="N74" i="19"/>
  <c r="P74" i="19"/>
  <c r="K74" i="19"/>
  <c r="M74" i="19"/>
  <c r="H74" i="19"/>
  <c r="H64" i="19"/>
  <c r="J64" i="19"/>
  <c r="H65" i="19"/>
  <c r="J65" i="19"/>
  <c r="H66" i="19"/>
  <c r="J66" i="19"/>
  <c r="H67" i="19"/>
  <c r="J67" i="19"/>
  <c r="H68" i="19"/>
  <c r="J68" i="19"/>
  <c r="I71" i="19"/>
  <c r="J74" i="19"/>
  <c r="AC73" i="19"/>
  <c r="AE73" i="19"/>
  <c r="Z73" i="19"/>
  <c r="AB73" i="19"/>
  <c r="W73" i="19"/>
  <c r="Y73" i="19"/>
  <c r="T73" i="19"/>
  <c r="V73" i="19"/>
  <c r="Q73" i="19"/>
  <c r="S73" i="19"/>
  <c r="N73" i="19"/>
  <c r="P73" i="19"/>
  <c r="K73" i="19"/>
  <c r="M73" i="19"/>
  <c r="H73" i="19"/>
  <c r="J73" i="19"/>
  <c r="E73" i="19"/>
  <c r="G73" i="19"/>
  <c r="AC72" i="19"/>
  <c r="AE72" i="19"/>
  <c r="Z72" i="19"/>
  <c r="AB72" i="19"/>
  <c r="W72" i="19"/>
  <c r="Y72" i="19"/>
  <c r="T72" i="19"/>
  <c r="V72" i="19"/>
  <c r="Q72" i="19"/>
  <c r="S72" i="19"/>
  <c r="N72" i="19"/>
  <c r="P72" i="19"/>
  <c r="K72" i="19"/>
  <c r="M72" i="19"/>
  <c r="H72" i="19"/>
  <c r="J72" i="19"/>
  <c r="AT79" i="19"/>
  <c r="AF76" i="19"/>
  <c r="AF75" i="19"/>
  <c r="AF74" i="19"/>
  <c r="AF73" i="19"/>
  <c r="AF72" i="19"/>
  <c r="AC64" i="19"/>
  <c r="AE64" i="19"/>
  <c r="AC65" i="19"/>
  <c r="AE65" i="19"/>
  <c r="AC66" i="19"/>
  <c r="AE66" i="19"/>
  <c r="AC67" i="19"/>
  <c r="AE67" i="19"/>
  <c r="AC68" i="19"/>
  <c r="AE68" i="19"/>
  <c r="AD71" i="19"/>
  <c r="Z64" i="19"/>
  <c r="AB64" i="19"/>
  <c r="Z65" i="19"/>
  <c r="AB65" i="19"/>
  <c r="Z66" i="19"/>
  <c r="AB66" i="19"/>
  <c r="Z67" i="19"/>
  <c r="AB67" i="19"/>
  <c r="Z68" i="19"/>
  <c r="AB68" i="19"/>
  <c r="AA71" i="19"/>
  <c r="W64" i="19"/>
  <c r="Y64" i="19"/>
  <c r="W65" i="19"/>
  <c r="Y65" i="19"/>
  <c r="W66" i="19"/>
  <c r="Y66" i="19"/>
  <c r="W67" i="19"/>
  <c r="Y67" i="19"/>
  <c r="W68" i="19"/>
  <c r="Y68" i="19"/>
  <c r="X71" i="19"/>
  <c r="T64" i="19"/>
  <c r="V64" i="19"/>
  <c r="T65" i="19"/>
  <c r="V65" i="19"/>
  <c r="T66" i="19"/>
  <c r="V66" i="19"/>
  <c r="T67" i="19"/>
  <c r="V67" i="19"/>
  <c r="T68" i="19"/>
  <c r="V68" i="19"/>
  <c r="U71" i="19"/>
  <c r="Q64" i="19"/>
  <c r="S64" i="19"/>
  <c r="Q65" i="19"/>
  <c r="S65" i="19"/>
  <c r="Q66" i="19"/>
  <c r="S66" i="19"/>
  <c r="Q67" i="19"/>
  <c r="S67" i="19"/>
  <c r="Q68" i="19"/>
  <c r="S68" i="19"/>
  <c r="R71" i="19"/>
  <c r="N64" i="19"/>
  <c r="P64" i="19"/>
  <c r="N65" i="19"/>
  <c r="P65" i="19"/>
  <c r="N66" i="19"/>
  <c r="P66" i="19"/>
  <c r="N67" i="19"/>
  <c r="P67" i="19"/>
  <c r="N68" i="19"/>
  <c r="P68" i="19"/>
  <c r="O71" i="19"/>
  <c r="K64" i="19"/>
  <c r="M64" i="19"/>
  <c r="K65" i="19"/>
  <c r="M65" i="19"/>
  <c r="K66" i="19"/>
  <c r="M66" i="19"/>
  <c r="K67" i="19"/>
  <c r="M67" i="19"/>
  <c r="K68" i="19"/>
  <c r="M68" i="19"/>
  <c r="L71" i="19"/>
  <c r="AF68" i="19"/>
  <c r="AG68" i="19"/>
  <c r="AF67" i="19"/>
  <c r="AG67" i="19"/>
  <c r="AF66" i="19"/>
  <c r="AG66" i="19"/>
  <c r="AF65" i="19"/>
  <c r="AG65" i="19"/>
  <c r="AF64" i="19"/>
  <c r="AG64" i="19"/>
  <c r="B62" i="19"/>
  <c r="D62" i="19"/>
  <c r="E62" i="19"/>
  <c r="G62" i="19"/>
  <c r="H62" i="19"/>
  <c r="J62" i="19"/>
  <c r="K62" i="19"/>
  <c r="M62" i="19"/>
  <c r="N62" i="19"/>
  <c r="P62" i="19"/>
  <c r="Q62" i="19"/>
  <c r="S62" i="19"/>
  <c r="T62" i="19"/>
  <c r="V62" i="19"/>
  <c r="W62" i="19"/>
  <c r="Y62" i="19"/>
  <c r="Z62" i="19"/>
  <c r="AB62" i="19"/>
  <c r="AC62" i="19"/>
  <c r="AE62" i="19"/>
  <c r="AF62" i="19"/>
  <c r="B61" i="19"/>
  <c r="D61" i="19"/>
  <c r="E61" i="19"/>
  <c r="G61" i="19"/>
  <c r="H61" i="19"/>
  <c r="J61" i="19"/>
  <c r="K61" i="19"/>
  <c r="M61" i="19"/>
  <c r="N61" i="19"/>
  <c r="P61" i="19"/>
  <c r="Q61" i="19"/>
  <c r="S61" i="19"/>
  <c r="T61" i="19"/>
  <c r="V61" i="19"/>
  <c r="W61" i="19"/>
  <c r="Y61" i="19"/>
  <c r="Z61" i="19"/>
  <c r="AB61" i="19"/>
  <c r="AC61" i="19"/>
  <c r="AE61" i="19"/>
  <c r="AF61" i="19"/>
  <c r="B60" i="19"/>
  <c r="D60" i="19"/>
  <c r="E60" i="19"/>
  <c r="E39" i="19"/>
  <c r="G39" i="19"/>
  <c r="E40" i="19"/>
  <c r="G40" i="19"/>
  <c r="E41" i="19"/>
  <c r="G41" i="19"/>
  <c r="E42" i="19"/>
  <c r="G42" i="19"/>
  <c r="E43" i="19"/>
  <c r="G43" i="19"/>
  <c r="E44" i="19"/>
  <c r="G60" i="19"/>
  <c r="H60" i="19"/>
  <c r="H39" i="19"/>
  <c r="J39" i="19"/>
  <c r="H40" i="19"/>
  <c r="J40" i="19"/>
  <c r="H41" i="19"/>
  <c r="J41" i="19"/>
  <c r="H42" i="19"/>
  <c r="J42" i="19"/>
  <c r="H43" i="19"/>
  <c r="J43" i="19"/>
  <c r="H44" i="19"/>
  <c r="J60" i="19"/>
  <c r="K60" i="19"/>
  <c r="M60" i="19"/>
  <c r="N60" i="19"/>
  <c r="P60" i="19"/>
  <c r="Q60" i="19"/>
  <c r="S60" i="19"/>
  <c r="T60" i="19"/>
  <c r="V60" i="19"/>
  <c r="W60" i="19"/>
  <c r="Y60" i="19"/>
  <c r="Z60" i="19"/>
  <c r="AB60" i="19"/>
  <c r="AC60" i="19"/>
  <c r="AE60" i="19"/>
  <c r="AF60" i="19"/>
  <c r="B59" i="19"/>
  <c r="B39" i="19"/>
  <c r="D39" i="19"/>
  <c r="B40" i="19"/>
  <c r="D40" i="19"/>
  <c r="B41" i="19"/>
  <c r="D41" i="19"/>
  <c r="B42" i="19"/>
  <c r="D42" i="19"/>
  <c r="B43" i="19"/>
  <c r="D43" i="19"/>
  <c r="B44" i="19"/>
  <c r="D59" i="19"/>
  <c r="E59" i="19"/>
  <c r="G59" i="19"/>
  <c r="H59" i="19"/>
  <c r="J59" i="19"/>
  <c r="K59" i="19"/>
  <c r="M59" i="19"/>
  <c r="N59" i="19"/>
  <c r="P59" i="19"/>
  <c r="Q59" i="19"/>
  <c r="S59" i="19"/>
  <c r="T59" i="19"/>
  <c r="V59" i="19"/>
  <c r="W59" i="19"/>
  <c r="Y59" i="19"/>
  <c r="Z59" i="19"/>
  <c r="AB59" i="19"/>
  <c r="AC59" i="19"/>
  <c r="AE59" i="19"/>
  <c r="AF59" i="19"/>
  <c r="B58" i="19"/>
  <c r="D58" i="19"/>
  <c r="E58" i="19"/>
  <c r="G58" i="19"/>
  <c r="H58" i="19"/>
  <c r="J58" i="19"/>
  <c r="K58" i="19"/>
  <c r="M58" i="19"/>
  <c r="N58" i="19"/>
  <c r="P58" i="19"/>
  <c r="Q58" i="19"/>
  <c r="S58" i="19"/>
  <c r="T58" i="19"/>
  <c r="V58" i="19"/>
  <c r="W58" i="19"/>
  <c r="Y58" i="19"/>
  <c r="Z58" i="19"/>
  <c r="AB58" i="19"/>
  <c r="AC58" i="19"/>
  <c r="AE58" i="19"/>
  <c r="AF58" i="19"/>
  <c r="B56" i="19"/>
  <c r="D56" i="19"/>
  <c r="E56" i="19"/>
  <c r="G56" i="19"/>
  <c r="H56" i="19"/>
  <c r="J56" i="19"/>
  <c r="K56" i="19"/>
  <c r="M56" i="19"/>
  <c r="N56" i="19"/>
  <c r="P56" i="19"/>
  <c r="Q56" i="19"/>
  <c r="S56" i="19"/>
  <c r="T56" i="19"/>
  <c r="V56" i="19"/>
  <c r="W56" i="19"/>
  <c r="Y56" i="19"/>
  <c r="Z56" i="19"/>
  <c r="AB56" i="19"/>
  <c r="AC56" i="19"/>
  <c r="AE56" i="19"/>
  <c r="AF56" i="19"/>
  <c r="B55" i="19"/>
  <c r="D55" i="19"/>
  <c r="E55" i="19"/>
  <c r="G55" i="19"/>
  <c r="H55" i="19"/>
  <c r="J55" i="19"/>
  <c r="K55" i="19"/>
  <c r="M55" i="19"/>
  <c r="N55" i="19"/>
  <c r="P55" i="19"/>
  <c r="Q55" i="19"/>
  <c r="S55" i="19"/>
  <c r="T55" i="19"/>
  <c r="V55" i="19"/>
  <c r="W55" i="19"/>
  <c r="Y55" i="19"/>
  <c r="Z55" i="19"/>
  <c r="AB55" i="19"/>
  <c r="AC55" i="19"/>
  <c r="AE55" i="19"/>
  <c r="AF55" i="19"/>
  <c r="B54" i="19"/>
  <c r="D54" i="19"/>
  <c r="E54" i="19"/>
  <c r="E37" i="19"/>
  <c r="G37" i="19"/>
  <c r="F37" i="19"/>
  <c r="G54" i="19"/>
  <c r="H54" i="19"/>
  <c r="H37" i="19"/>
  <c r="J37" i="19"/>
  <c r="I37" i="19"/>
  <c r="J54" i="19"/>
  <c r="K54" i="19"/>
  <c r="M54" i="19"/>
  <c r="N54" i="19"/>
  <c r="P54" i="19"/>
  <c r="Q54" i="19"/>
  <c r="S54" i="19"/>
  <c r="T54" i="19"/>
  <c r="V54" i="19"/>
  <c r="W54" i="19"/>
  <c r="Y54" i="19"/>
  <c r="Z54" i="19"/>
  <c r="AB54" i="19"/>
  <c r="AC54" i="19"/>
  <c r="AE54" i="19"/>
  <c r="AF54" i="19"/>
  <c r="B53" i="19"/>
  <c r="B37" i="19"/>
  <c r="D37" i="19"/>
  <c r="C37" i="19"/>
  <c r="D53" i="19"/>
  <c r="E53" i="19"/>
  <c r="G53" i="19"/>
  <c r="H53" i="19"/>
  <c r="J53" i="19"/>
  <c r="K53" i="19"/>
  <c r="M53" i="19"/>
  <c r="N53" i="19"/>
  <c r="P53" i="19"/>
  <c r="Q53" i="19"/>
  <c r="S53" i="19"/>
  <c r="T53" i="19"/>
  <c r="V53" i="19"/>
  <c r="W53" i="19"/>
  <c r="Y53" i="19"/>
  <c r="Z53" i="19"/>
  <c r="AB53" i="19"/>
  <c r="AC53" i="19"/>
  <c r="AE53" i="19"/>
  <c r="AF53" i="19"/>
  <c r="B52" i="19"/>
  <c r="D52" i="19"/>
  <c r="E52" i="19"/>
  <c r="G52" i="19"/>
  <c r="H52" i="19"/>
  <c r="J52" i="19"/>
  <c r="K52" i="19"/>
  <c r="M52" i="19"/>
  <c r="N52" i="19"/>
  <c r="P52" i="19"/>
  <c r="Q52" i="19"/>
  <c r="S52" i="19"/>
  <c r="T52" i="19"/>
  <c r="V52" i="19"/>
  <c r="W52" i="19"/>
  <c r="Y52" i="19"/>
  <c r="Z52" i="19"/>
  <c r="AB52" i="19"/>
  <c r="AC52" i="19"/>
  <c r="AE52" i="19"/>
  <c r="AF52" i="19"/>
  <c r="B50" i="19"/>
  <c r="D50" i="19"/>
  <c r="E50" i="19"/>
  <c r="G50" i="19"/>
  <c r="H50" i="19"/>
  <c r="J50" i="19"/>
  <c r="K50" i="19"/>
  <c r="M50" i="19"/>
  <c r="N50" i="19"/>
  <c r="P50" i="19"/>
  <c r="Q50" i="19"/>
  <c r="S50" i="19"/>
  <c r="T50" i="19"/>
  <c r="V50" i="19"/>
  <c r="W50" i="19"/>
  <c r="Y50" i="19"/>
  <c r="Z50" i="19"/>
  <c r="AB50" i="19"/>
  <c r="AC50" i="19"/>
  <c r="AE50" i="19"/>
  <c r="AF50" i="19"/>
  <c r="AG50" i="19"/>
  <c r="B49" i="19"/>
  <c r="D49" i="19"/>
  <c r="E49" i="19"/>
  <c r="G49" i="19"/>
  <c r="H49" i="19"/>
  <c r="J49" i="19"/>
  <c r="K49" i="19"/>
  <c r="M49" i="19"/>
  <c r="N49" i="19"/>
  <c r="P49" i="19"/>
  <c r="Q49" i="19"/>
  <c r="S49" i="19"/>
  <c r="T49" i="19"/>
  <c r="V49" i="19"/>
  <c r="W49" i="19"/>
  <c r="Y49" i="19"/>
  <c r="Z49" i="19"/>
  <c r="AB49" i="19"/>
  <c r="AC49" i="19"/>
  <c r="AE49" i="19"/>
  <c r="AF49" i="19"/>
  <c r="AG49" i="19"/>
  <c r="B48" i="19"/>
  <c r="D48" i="19"/>
  <c r="E48" i="19"/>
  <c r="G48" i="19"/>
  <c r="H48" i="19"/>
  <c r="J48" i="19"/>
  <c r="K48" i="19"/>
  <c r="M48" i="19"/>
  <c r="N48" i="19"/>
  <c r="P48" i="19"/>
  <c r="Q48" i="19"/>
  <c r="S48" i="19"/>
  <c r="T48" i="19"/>
  <c r="V48" i="19"/>
  <c r="W48" i="19"/>
  <c r="Y48" i="19"/>
  <c r="Z48" i="19"/>
  <c r="AB48" i="19"/>
  <c r="AC48" i="19"/>
  <c r="AE48" i="19"/>
  <c r="AF48" i="19"/>
  <c r="AG48" i="19"/>
  <c r="B47" i="19"/>
  <c r="D47" i="19"/>
  <c r="E47" i="19"/>
  <c r="G47" i="19"/>
  <c r="H47" i="19"/>
  <c r="J47" i="19"/>
  <c r="K47" i="19"/>
  <c r="M47" i="19"/>
  <c r="N47" i="19"/>
  <c r="P47" i="19"/>
  <c r="Q47" i="19"/>
  <c r="S47" i="19"/>
  <c r="T47" i="19"/>
  <c r="V47" i="19"/>
  <c r="W47" i="19"/>
  <c r="Y47" i="19"/>
  <c r="Z47" i="19"/>
  <c r="AB47" i="19"/>
  <c r="AC47" i="19"/>
  <c r="AE47" i="19"/>
  <c r="AF47" i="19"/>
  <c r="AG47" i="19"/>
  <c r="B46" i="19"/>
  <c r="D46" i="19"/>
  <c r="E46" i="19"/>
  <c r="G46" i="19"/>
  <c r="H46" i="19"/>
  <c r="J46" i="19"/>
  <c r="K46" i="19"/>
  <c r="M46" i="19"/>
  <c r="N46" i="19"/>
  <c r="P46" i="19"/>
  <c r="Q46" i="19"/>
  <c r="S46" i="19"/>
  <c r="T46" i="19"/>
  <c r="V46" i="19"/>
  <c r="W46" i="19"/>
  <c r="Y46" i="19"/>
  <c r="Z46" i="19"/>
  <c r="AB46" i="19"/>
  <c r="AC46" i="19"/>
  <c r="AE46" i="19"/>
  <c r="AF46" i="19"/>
  <c r="AG46" i="19"/>
  <c r="AC39" i="19"/>
  <c r="AE39" i="19"/>
  <c r="AC40" i="19"/>
  <c r="AE40" i="19"/>
  <c r="AC41" i="19"/>
  <c r="AE41" i="19"/>
  <c r="AC42" i="19"/>
  <c r="AE42" i="19"/>
  <c r="AC43" i="19"/>
  <c r="AE43" i="19"/>
  <c r="AC44" i="19"/>
  <c r="Z39" i="19"/>
  <c r="AB39" i="19"/>
  <c r="Z40" i="19"/>
  <c r="AB40" i="19"/>
  <c r="Z41" i="19"/>
  <c r="AB41" i="19"/>
  <c r="Z42" i="19"/>
  <c r="AB42" i="19"/>
  <c r="Z43" i="19"/>
  <c r="AB43" i="19"/>
  <c r="Z44" i="19"/>
  <c r="W39" i="19"/>
  <c r="Y39" i="19"/>
  <c r="W40" i="19"/>
  <c r="Y40" i="19"/>
  <c r="W41" i="19"/>
  <c r="Y41" i="19"/>
  <c r="W42" i="19"/>
  <c r="Y42" i="19"/>
  <c r="W43" i="19"/>
  <c r="Y43" i="19"/>
  <c r="W44" i="19"/>
  <c r="T39" i="19"/>
  <c r="V39" i="19"/>
  <c r="T40" i="19"/>
  <c r="V40" i="19"/>
  <c r="T41" i="19"/>
  <c r="V41" i="19"/>
  <c r="T42" i="19"/>
  <c r="V42" i="19"/>
  <c r="T43" i="19"/>
  <c r="V43" i="19"/>
  <c r="T44" i="19"/>
  <c r="Q39" i="19"/>
  <c r="S39" i="19"/>
  <c r="Q40" i="19"/>
  <c r="S40" i="19"/>
  <c r="Q41" i="19"/>
  <c r="S41" i="19"/>
  <c r="Q42" i="19"/>
  <c r="S42" i="19"/>
  <c r="Q43" i="19"/>
  <c r="S43" i="19"/>
  <c r="Q44" i="19"/>
  <c r="N39" i="19"/>
  <c r="P39" i="19"/>
  <c r="N40" i="19"/>
  <c r="P40" i="19"/>
  <c r="N41" i="19"/>
  <c r="P41" i="19"/>
  <c r="N42" i="19"/>
  <c r="P42" i="19"/>
  <c r="N43" i="19"/>
  <c r="P43" i="19"/>
  <c r="N44" i="19"/>
  <c r="K39" i="19"/>
  <c r="M39" i="19"/>
  <c r="K40" i="19"/>
  <c r="M40" i="19"/>
  <c r="K41" i="19"/>
  <c r="M41" i="19"/>
  <c r="K42" i="19"/>
  <c r="M42" i="19"/>
  <c r="K43" i="19"/>
  <c r="M43" i="19"/>
  <c r="K44" i="19"/>
  <c r="AE37" i="19"/>
  <c r="AC37" i="19"/>
  <c r="AD37" i="19"/>
  <c r="AB37" i="19"/>
  <c r="Z37" i="19"/>
  <c r="AA37" i="19"/>
  <c r="Y37" i="19"/>
  <c r="W37" i="19"/>
  <c r="X37" i="19"/>
  <c r="V37" i="19"/>
  <c r="T37" i="19"/>
  <c r="U37" i="19"/>
  <c r="S37" i="19"/>
  <c r="Q37" i="19"/>
  <c r="R37" i="19"/>
  <c r="P37" i="19"/>
  <c r="N37" i="19"/>
  <c r="O37" i="19"/>
  <c r="M37" i="19"/>
  <c r="K37" i="19"/>
  <c r="L37" i="19"/>
  <c r="AE30" i="19"/>
  <c r="AC30" i="19"/>
  <c r="AB30" i="19"/>
  <c r="Z30" i="19"/>
  <c r="Y30" i="19"/>
  <c r="W30" i="19"/>
  <c r="V30" i="19"/>
  <c r="T30" i="19"/>
  <c r="S30" i="19"/>
  <c r="Q30" i="19"/>
  <c r="P30" i="19"/>
  <c r="N30" i="19"/>
  <c r="M30" i="19"/>
  <c r="K30" i="19"/>
  <c r="J30" i="19"/>
  <c r="H30" i="19"/>
  <c r="G30" i="19"/>
  <c r="E30" i="19"/>
  <c r="D30" i="19"/>
  <c r="B30" i="19"/>
  <c r="AD29" i="19"/>
  <c r="AA29" i="19"/>
  <c r="X29" i="19"/>
  <c r="U29" i="19"/>
  <c r="R29" i="19"/>
  <c r="O29" i="19"/>
  <c r="L29" i="19"/>
  <c r="I29" i="19"/>
  <c r="F29" i="19"/>
  <c r="A29" i="19"/>
  <c r="AG28" i="19"/>
  <c r="AH28" i="19"/>
  <c r="AI28" i="19"/>
  <c r="AJ28" i="19"/>
  <c r="AK28" i="19"/>
  <c r="AL28" i="19"/>
  <c r="AM28" i="19"/>
  <c r="AN28" i="19"/>
  <c r="AO28" i="19"/>
  <c r="AP28" i="19"/>
  <c r="AQ28" i="19"/>
  <c r="AF28" i="19"/>
  <c r="AD28" i="19"/>
  <c r="AA28" i="19"/>
  <c r="X28" i="19"/>
  <c r="U28" i="19"/>
  <c r="R28" i="19"/>
  <c r="O28" i="19"/>
  <c r="L28" i="19"/>
  <c r="I28" i="19"/>
  <c r="F28" i="19"/>
  <c r="A28" i="19"/>
  <c r="AG27" i="19"/>
  <c r="AH27" i="19"/>
  <c r="AI27" i="19"/>
  <c r="AJ27" i="19"/>
  <c r="AK27" i="19"/>
  <c r="AL27" i="19"/>
  <c r="AM27" i="19"/>
  <c r="AN27" i="19"/>
  <c r="AO27" i="19"/>
  <c r="AP27" i="19"/>
  <c r="AQ27" i="19"/>
  <c r="AF27" i="19"/>
  <c r="AD27" i="19"/>
  <c r="AA27" i="19"/>
  <c r="X27" i="19"/>
  <c r="U27" i="19"/>
  <c r="R27" i="19"/>
  <c r="O27" i="19"/>
  <c r="L27" i="19"/>
  <c r="I27" i="19"/>
  <c r="F27" i="19"/>
  <c r="A27" i="19"/>
  <c r="AG26" i="19"/>
  <c r="AH26" i="19"/>
  <c r="AI26" i="19"/>
  <c r="AJ26" i="19"/>
  <c r="AK26" i="19"/>
  <c r="AL26" i="19"/>
  <c r="AM26" i="19"/>
  <c r="AN26" i="19"/>
  <c r="AO26" i="19"/>
  <c r="AP26" i="19"/>
  <c r="AQ26" i="19"/>
  <c r="AF26" i="19"/>
  <c r="AD26" i="19"/>
  <c r="AA26" i="19"/>
  <c r="X26" i="19"/>
  <c r="U26" i="19"/>
  <c r="R26" i="19"/>
  <c r="O26" i="19"/>
  <c r="L26" i="19"/>
  <c r="I26" i="19"/>
  <c r="F26" i="19"/>
  <c r="A26" i="19"/>
  <c r="AG25" i="19"/>
  <c r="AH25" i="19"/>
  <c r="AI25" i="19"/>
  <c r="AJ25" i="19"/>
  <c r="AK25" i="19"/>
  <c r="AL25" i="19"/>
  <c r="AM25" i="19"/>
  <c r="AN25" i="19"/>
  <c r="AO25" i="19"/>
  <c r="AP25" i="19"/>
  <c r="AQ25" i="19"/>
  <c r="AF25" i="19"/>
  <c r="AD25" i="19"/>
  <c r="AA25" i="19"/>
  <c r="X25" i="19"/>
  <c r="U25" i="19"/>
  <c r="R25" i="19"/>
  <c r="O25" i="19"/>
  <c r="L25" i="19"/>
  <c r="I25" i="19"/>
  <c r="F25" i="19"/>
  <c r="AG24" i="19"/>
  <c r="AH24" i="19"/>
  <c r="AI24" i="19"/>
  <c r="AJ24" i="19"/>
  <c r="AK24" i="19"/>
  <c r="AL24" i="19"/>
  <c r="AM24" i="19"/>
  <c r="AN24" i="19"/>
  <c r="AO24" i="19"/>
  <c r="AP24" i="19"/>
  <c r="AQ24" i="19"/>
  <c r="AF24" i="19"/>
  <c r="AD24" i="19"/>
  <c r="AA24" i="19"/>
  <c r="X24" i="19"/>
  <c r="U24" i="19"/>
  <c r="R24" i="19"/>
  <c r="O24" i="19"/>
  <c r="L24" i="19"/>
  <c r="I24" i="19"/>
  <c r="F24" i="19"/>
  <c r="AC22" i="19"/>
  <c r="Z22" i="19"/>
  <c r="W22" i="19"/>
  <c r="T22" i="19"/>
  <c r="Q22" i="19"/>
  <c r="N22" i="19"/>
  <c r="K22" i="19"/>
  <c r="H22" i="19"/>
  <c r="E22" i="19"/>
  <c r="E17" i="19"/>
  <c r="AC16" i="19"/>
  <c r="Z16" i="19"/>
  <c r="W16" i="19"/>
  <c r="R16" i="19"/>
  <c r="L16" i="19"/>
  <c r="A16" i="19"/>
  <c r="E15" i="19"/>
  <c r="AY14" i="19"/>
  <c r="AC14" i="19"/>
  <c r="Z14" i="19"/>
  <c r="W14" i="19"/>
  <c r="R14" i="19"/>
  <c r="L14" i="19"/>
  <c r="A14" i="19"/>
  <c r="F266" i="18"/>
  <c r="E13" i="19"/>
  <c r="AC264" i="19" s="1"/>
  <c r="AC12" i="19"/>
  <c r="Z12" i="19"/>
  <c r="W12" i="19"/>
  <c r="R12" i="19"/>
  <c r="L12" i="19"/>
  <c r="A12" i="19"/>
  <c r="F265" i="18"/>
  <c r="E11" i="19" s="1"/>
  <c r="F264" i="19" s="1"/>
  <c r="AC10" i="19"/>
  <c r="Z10" i="19"/>
  <c r="W10" i="19"/>
  <c r="R10" i="19"/>
  <c r="L10" i="19"/>
  <c r="A10" i="19"/>
  <c r="F264" i="18"/>
  <c r="E9" i="19"/>
  <c r="AC8" i="19"/>
  <c r="Z8" i="19"/>
  <c r="W8" i="19"/>
  <c r="R8" i="19"/>
  <c r="L8" i="19"/>
  <c r="A8" i="19"/>
  <c r="R7" i="19"/>
  <c r="L7" i="19"/>
  <c r="K6" i="19"/>
  <c r="J264" i="18"/>
  <c r="J265" i="18"/>
  <c r="J266" i="18"/>
  <c r="AN266" i="18"/>
  <c r="AN264" i="18"/>
  <c r="AN265" i="18"/>
  <c r="AP266" i="18"/>
  <c r="AK266" i="18"/>
  <c r="AH266" i="18"/>
  <c r="AF266" i="18"/>
  <c r="AF264" i="18"/>
  <c r="AF265" i="18"/>
  <c r="AG266" i="18"/>
  <c r="U266" i="18"/>
  <c r="U264" i="18"/>
  <c r="U265" i="18"/>
  <c r="W266" i="18"/>
  <c r="L266" i="18"/>
  <c r="AP265" i="18"/>
  <c r="AK265" i="18"/>
  <c r="AH265" i="18"/>
  <c r="AG265" i="18"/>
  <c r="W265" i="18"/>
  <c r="L265" i="18"/>
  <c r="AP264" i="18"/>
  <c r="AK264" i="18"/>
  <c r="AH264" i="18"/>
  <c r="AG264" i="18"/>
  <c r="W264" i="18"/>
  <c r="L264" i="18"/>
  <c r="A259" i="18"/>
  <c r="AE255" i="18"/>
  <c r="AE201" i="18"/>
  <c r="AE202" i="18"/>
  <c r="AE203" i="18"/>
  <c r="AE204" i="18"/>
  <c r="AE205" i="18"/>
  <c r="AE206" i="18"/>
  <c r="AC255" i="18"/>
  <c r="AC201" i="18"/>
  <c r="AC202" i="18"/>
  <c r="AC203" i="18"/>
  <c r="AC204" i="18"/>
  <c r="AC205" i="18"/>
  <c r="AC206" i="18"/>
  <c r="AB255" i="18"/>
  <c r="AB201" i="18"/>
  <c r="AB202" i="18"/>
  <c r="AB203" i="18"/>
  <c r="AB204" i="18"/>
  <c r="AB205" i="18"/>
  <c r="AB206" i="18"/>
  <c r="Z255" i="18"/>
  <c r="Z201" i="18"/>
  <c r="Z202" i="18"/>
  <c r="Z203" i="18"/>
  <c r="Z204" i="18"/>
  <c r="Z205" i="18"/>
  <c r="Z206" i="18"/>
  <c r="Y255" i="18"/>
  <c r="Y256" i="18" s="1"/>
  <c r="Y257" i="18" s="1"/>
  <c r="Y201" i="18"/>
  <c r="Y202" i="18"/>
  <c r="Y203" i="18"/>
  <c r="Y204" i="18"/>
  <c r="Y205" i="18"/>
  <c r="Y206" i="18"/>
  <c r="W255" i="18"/>
  <c r="W201" i="18"/>
  <c r="W202" i="18"/>
  <c r="W203" i="18"/>
  <c r="W204" i="18"/>
  <c r="W205" i="18"/>
  <c r="W206" i="18"/>
  <c r="V255" i="18"/>
  <c r="V201" i="18"/>
  <c r="V202" i="18"/>
  <c r="V203" i="18"/>
  <c r="V204" i="18"/>
  <c r="V205" i="18"/>
  <c r="V206" i="18"/>
  <c r="T255" i="18"/>
  <c r="T201" i="18"/>
  <c r="T202" i="18"/>
  <c r="T203" i="18"/>
  <c r="T204" i="18"/>
  <c r="T205" i="18"/>
  <c r="T206" i="18"/>
  <c r="S255" i="18"/>
  <c r="S201" i="18"/>
  <c r="S202" i="18"/>
  <c r="S203" i="18"/>
  <c r="S204" i="18"/>
  <c r="S205" i="18"/>
  <c r="S206" i="18"/>
  <c r="Q255" i="18"/>
  <c r="Q201" i="18"/>
  <c r="Q202" i="18"/>
  <c r="Q203" i="18"/>
  <c r="Q204" i="18"/>
  <c r="Q205" i="18"/>
  <c r="Q206" i="18"/>
  <c r="P255" i="18"/>
  <c r="P201" i="18"/>
  <c r="P202" i="18"/>
  <c r="P203" i="18"/>
  <c r="P204" i="18"/>
  <c r="P205" i="18"/>
  <c r="P206" i="18"/>
  <c r="N255" i="18"/>
  <c r="N201" i="18"/>
  <c r="N202" i="18"/>
  <c r="N203" i="18"/>
  <c r="N204" i="18"/>
  <c r="N205" i="18"/>
  <c r="N206" i="18"/>
  <c r="M255" i="18"/>
  <c r="M201" i="18"/>
  <c r="M202" i="18"/>
  <c r="M203" i="18"/>
  <c r="M204" i="18"/>
  <c r="M205" i="18"/>
  <c r="M206" i="18"/>
  <c r="K255" i="18"/>
  <c r="K201" i="18"/>
  <c r="K202" i="18"/>
  <c r="K203" i="18"/>
  <c r="K204" i="18"/>
  <c r="K205" i="18"/>
  <c r="K206" i="18"/>
  <c r="E244" i="18"/>
  <c r="E234" i="18"/>
  <c r="G234" i="18"/>
  <c r="E201" i="18"/>
  <c r="E202" i="18"/>
  <c r="E203" i="18"/>
  <c r="E204" i="18"/>
  <c r="E205" i="18"/>
  <c r="E235" i="18"/>
  <c r="G235" i="18"/>
  <c r="E236" i="18"/>
  <c r="G201" i="18"/>
  <c r="G202" i="18"/>
  <c r="G203" i="18"/>
  <c r="G204" i="18"/>
  <c r="G205" i="18"/>
  <c r="G236" i="18"/>
  <c r="E237" i="18"/>
  <c r="G237" i="18"/>
  <c r="E238" i="18"/>
  <c r="G238" i="18"/>
  <c r="F241" i="18"/>
  <c r="G244" i="18"/>
  <c r="B244" i="18"/>
  <c r="D244" i="18"/>
  <c r="X265" i="17"/>
  <c r="E182" i="18"/>
  <c r="B251" i="18"/>
  <c r="G206" i="18"/>
  <c r="E206" i="18"/>
  <c r="J201" i="18"/>
  <c r="J202" i="18"/>
  <c r="J203" i="18"/>
  <c r="J204" i="18"/>
  <c r="J205" i="18"/>
  <c r="J206" i="18"/>
  <c r="E242" i="18"/>
  <c r="G242" i="18"/>
  <c r="B201" i="18"/>
  <c r="B202" i="18"/>
  <c r="B203" i="18"/>
  <c r="B204" i="18"/>
  <c r="B205" i="18"/>
  <c r="B234" i="18"/>
  <c r="D234" i="18"/>
  <c r="B235" i="18"/>
  <c r="D201" i="18"/>
  <c r="D202" i="18"/>
  <c r="D203" i="18"/>
  <c r="D204" i="18"/>
  <c r="D205" i="18"/>
  <c r="D235" i="18"/>
  <c r="B236" i="18"/>
  <c r="D236" i="18"/>
  <c r="B237" i="18"/>
  <c r="D237" i="18"/>
  <c r="B238" i="18"/>
  <c r="D238" i="18"/>
  <c r="C241" i="18"/>
  <c r="B242" i="18"/>
  <c r="D242" i="18"/>
  <c r="B266" i="17"/>
  <c r="E178" i="18"/>
  <c r="B249" i="18"/>
  <c r="B206" i="18"/>
  <c r="D206" i="18"/>
  <c r="H201" i="18"/>
  <c r="H202" i="18"/>
  <c r="H203" i="18"/>
  <c r="H204" i="18"/>
  <c r="H205" i="18"/>
  <c r="H206" i="18"/>
  <c r="B243" i="18"/>
  <c r="D243" i="18"/>
  <c r="M264" i="17"/>
  <c r="E180" i="18"/>
  <c r="B250" i="18"/>
  <c r="AC246" i="18"/>
  <c r="AE246" i="18"/>
  <c r="Z246" i="18"/>
  <c r="AB246" i="18"/>
  <c r="W246" i="18"/>
  <c r="Y246" i="18"/>
  <c r="T246" i="18"/>
  <c r="V246" i="18"/>
  <c r="Q246" i="18"/>
  <c r="S246" i="18"/>
  <c r="N246" i="18"/>
  <c r="P246" i="18"/>
  <c r="K246" i="18"/>
  <c r="M246" i="18"/>
  <c r="H246" i="18"/>
  <c r="J246" i="18"/>
  <c r="E246" i="18"/>
  <c r="G246" i="18"/>
  <c r="B246" i="18"/>
  <c r="D246" i="18"/>
  <c r="E186" i="18"/>
  <c r="B253" i="18"/>
  <c r="C253" i="18"/>
  <c r="D253" i="18" s="1"/>
  <c r="G253" i="18" s="1"/>
  <c r="J253" i="18" s="1"/>
  <c r="M253" i="18" s="1"/>
  <c r="P253" i="18" s="1"/>
  <c r="S253" i="18" s="1"/>
  <c r="V253" i="18" s="1"/>
  <c r="Y253" i="18" s="1"/>
  <c r="AB253" i="18" s="1"/>
  <c r="AE253" i="18" s="1"/>
  <c r="AU253" i="18" s="1"/>
  <c r="AT253" i="18"/>
  <c r="AC245" i="18"/>
  <c r="AE245" i="18"/>
  <c r="Z245" i="18"/>
  <c r="AB245" i="18"/>
  <c r="W245" i="18"/>
  <c r="Y245" i="18"/>
  <c r="T245" i="18"/>
  <c r="V245" i="18"/>
  <c r="Q245" i="18"/>
  <c r="S245" i="18"/>
  <c r="N245" i="18"/>
  <c r="P245" i="18"/>
  <c r="K245" i="18"/>
  <c r="M245" i="18"/>
  <c r="H245" i="18"/>
  <c r="J245" i="18"/>
  <c r="E245" i="18"/>
  <c r="G245" i="18"/>
  <c r="B245" i="18"/>
  <c r="D245" i="18"/>
  <c r="E184" i="18"/>
  <c r="B252" i="18" s="1"/>
  <c r="AC244" i="18"/>
  <c r="AE244" i="18"/>
  <c r="Z244" i="18"/>
  <c r="AB244" i="18"/>
  <c r="W244" i="18"/>
  <c r="Y244" i="18"/>
  <c r="T244" i="18"/>
  <c r="V244" i="18"/>
  <c r="Q244" i="18"/>
  <c r="S244" i="18"/>
  <c r="N244" i="18"/>
  <c r="P244" i="18"/>
  <c r="K244" i="18"/>
  <c r="M244" i="18"/>
  <c r="H244" i="18"/>
  <c r="H234" i="18"/>
  <c r="J234" i="18"/>
  <c r="H235" i="18"/>
  <c r="J235" i="18"/>
  <c r="H236" i="18"/>
  <c r="J236" i="18"/>
  <c r="H237" i="18"/>
  <c r="J237" i="18"/>
  <c r="H238" i="18"/>
  <c r="J238" i="18"/>
  <c r="I241" i="18"/>
  <c r="J244" i="18"/>
  <c r="AT251" i="18"/>
  <c r="AC243" i="18"/>
  <c r="AE243" i="18"/>
  <c r="Z243" i="18"/>
  <c r="AB243" i="18"/>
  <c r="W243" i="18"/>
  <c r="Y243" i="18"/>
  <c r="T243" i="18"/>
  <c r="V243" i="18"/>
  <c r="Q243" i="18"/>
  <c r="S243" i="18"/>
  <c r="N243" i="18"/>
  <c r="P243" i="18"/>
  <c r="K243" i="18"/>
  <c r="M243" i="18"/>
  <c r="H243" i="18"/>
  <c r="J243" i="18"/>
  <c r="E243" i="18"/>
  <c r="G243" i="18"/>
  <c r="AT250" i="18"/>
  <c r="AC242" i="18"/>
  <c r="AE242" i="18"/>
  <c r="Z242" i="18"/>
  <c r="AB242" i="18"/>
  <c r="W242" i="18"/>
  <c r="Y242" i="18"/>
  <c r="T242" i="18"/>
  <c r="V242" i="18"/>
  <c r="Q242" i="18"/>
  <c r="S242" i="18"/>
  <c r="N242" i="18"/>
  <c r="P242" i="18"/>
  <c r="K242" i="18"/>
  <c r="M242" i="18"/>
  <c r="H242" i="18"/>
  <c r="J242" i="18"/>
  <c r="AT249" i="18"/>
  <c r="AF246" i="18"/>
  <c r="AF245" i="18"/>
  <c r="AF244" i="18"/>
  <c r="AF243" i="18"/>
  <c r="AF242" i="18"/>
  <c r="AC234" i="18"/>
  <c r="AE234" i="18"/>
  <c r="AC235" i="18"/>
  <c r="AE235" i="18"/>
  <c r="AC236" i="18"/>
  <c r="AE236" i="18"/>
  <c r="AC237" i="18"/>
  <c r="AE237" i="18"/>
  <c r="AC238" i="18"/>
  <c r="AE238" i="18"/>
  <c r="AD241" i="18"/>
  <c r="Z234" i="18"/>
  <c r="AB234" i="18"/>
  <c r="Z235" i="18"/>
  <c r="AB235" i="18"/>
  <c r="Z236" i="18"/>
  <c r="AB236" i="18"/>
  <c r="Z237" i="18"/>
  <c r="AB237" i="18"/>
  <c r="Z238" i="18"/>
  <c r="AB238" i="18"/>
  <c r="AA241" i="18"/>
  <c r="W234" i="18"/>
  <c r="Y234" i="18"/>
  <c r="W235" i="18"/>
  <c r="Y235" i="18"/>
  <c r="W236" i="18"/>
  <c r="Y236" i="18"/>
  <c r="W237" i="18"/>
  <c r="Y237" i="18"/>
  <c r="W238" i="18"/>
  <c r="Y238" i="18"/>
  <c r="X241" i="18"/>
  <c r="T234" i="18"/>
  <c r="V234" i="18"/>
  <c r="T235" i="18"/>
  <c r="V235" i="18"/>
  <c r="T236" i="18"/>
  <c r="V236" i="18"/>
  <c r="T237" i="18"/>
  <c r="V237" i="18"/>
  <c r="T238" i="18"/>
  <c r="V238" i="18"/>
  <c r="U241" i="18"/>
  <c r="Q234" i="18"/>
  <c r="S234" i="18"/>
  <c r="Q235" i="18"/>
  <c r="S235" i="18"/>
  <c r="Q236" i="18"/>
  <c r="S236" i="18"/>
  <c r="Q237" i="18"/>
  <c r="S237" i="18"/>
  <c r="Q238" i="18"/>
  <c r="S238" i="18"/>
  <c r="R241" i="18"/>
  <c r="N234" i="18"/>
  <c r="P234" i="18"/>
  <c r="N235" i="18"/>
  <c r="P235" i="18"/>
  <c r="N236" i="18"/>
  <c r="P236" i="18"/>
  <c r="N237" i="18"/>
  <c r="P237" i="18"/>
  <c r="N238" i="18"/>
  <c r="P238" i="18"/>
  <c r="O241" i="18"/>
  <c r="K234" i="18"/>
  <c r="M234" i="18"/>
  <c r="K235" i="18"/>
  <c r="M235" i="18"/>
  <c r="K236" i="18"/>
  <c r="M236" i="18"/>
  <c r="K237" i="18"/>
  <c r="M237" i="18"/>
  <c r="K238" i="18"/>
  <c r="M238" i="18"/>
  <c r="L241" i="18"/>
  <c r="AF238" i="18"/>
  <c r="AG238" i="18"/>
  <c r="AF237" i="18"/>
  <c r="AG237" i="18"/>
  <c r="AF236" i="18"/>
  <c r="AG236" i="18"/>
  <c r="AF235" i="18"/>
  <c r="AG235" i="18"/>
  <c r="AF234" i="18"/>
  <c r="AG234" i="18"/>
  <c r="B232" i="18"/>
  <c r="D232" i="18"/>
  <c r="E232" i="18"/>
  <c r="G232" i="18"/>
  <c r="H232" i="18"/>
  <c r="J232" i="18"/>
  <c r="K232" i="18"/>
  <c r="M232" i="18"/>
  <c r="N232" i="18"/>
  <c r="P232" i="18"/>
  <c r="Q232" i="18"/>
  <c r="S232" i="18"/>
  <c r="T232" i="18"/>
  <c r="V232" i="18"/>
  <c r="W232" i="18"/>
  <c r="Y232" i="18"/>
  <c r="Z232" i="18"/>
  <c r="AB232" i="18"/>
  <c r="AC232" i="18"/>
  <c r="AE232" i="18"/>
  <c r="AF232" i="18"/>
  <c r="B231" i="18"/>
  <c r="D231" i="18"/>
  <c r="E231" i="18"/>
  <c r="G231" i="18"/>
  <c r="H231" i="18"/>
  <c r="J231" i="18"/>
  <c r="K231" i="18"/>
  <c r="M231" i="18"/>
  <c r="N231" i="18"/>
  <c r="P231" i="18"/>
  <c r="Q231" i="18"/>
  <c r="S231" i="18"/>
  <c r="T231" i="18"/>
  <c r="V231" i="18"/>
  <c r="W231" i="18"/>
  <c r="Y231" i="18"/>
  <c r="Z231" i="18"/>
  <c r="AB231" i="18"/>
  <c r="AC231" i="18"/>
  <c r="AE231" i="18"/>
  <c r="AF231" i="18"/>
  <c r="B230" i="18"/>
  <c r="D230" i="18"/>
  <c r="E230" i="18"/>
  <c r="E209" i="18"/>
  <c r="G209" i="18"/>
  <c r="E210" i="18"/>
  <c r="G210" i="18"/>
  <c r="E211" i="18"/>
  <c r="G211" i="18"/>
  <c r="E212" i="18"/>
  <c r="G212" i="18"/>
  <c r="E213" i="18"/>
  <c r="G213" i="18"/>
  <c r="E214" i="18"/>
  <c r="G230" i="18"/>
  <c r="H230" i="18"/>
  <c r="H209" i="18"/>
  <c r="J209" i="18"/>
  <c r="H210" i="18"/>
  <c r="J210" i="18"/>
  <c r="H211" i="18"/>
  <c r="J211" i="18"/>
  <c r="H212" i="18"/>
  <c r="J212" i="18"/>
  <c r="H213" i="18"/>
  <c r="J213" i="18"/>
  <c r="H214" i="18"/>
  <c r="J230" i="18"/>
  <c r="K230" i="18"/>
  <c r="M230" i="18"/>
  <c r="N230" i="18"/>
  <c r="P230" i="18"/>
  <c r="Q230" i="18"/>
  <c r="S230" i="18"/>
  <c r="T230" i="18"/>
  <c r="V230" i="18"/>
  <c r="W230" i="18"/>
  <c r="Y230" i="18"/>
  <c r="Z230" i="18"/>
  <c r="AB230" i="18"/>
  <c r="AC230" i="18"/>
  <c r="AE230" i="18"/>
  <c r="AF230" i="18"/>
  <c r="B229" i="18"/>
  <c r="B209" i="18"/>
  <c r="D209" i="18"/>
  <c r="B210" i="18"/>
  <c r="D210" i="18"/>
  <c r="B211" i="18"/>
  <c r="D211" i="18"/>
  <c r="B212" i="18"/>
  <c r="D212" i="18"/>
  <c r="B213" i="18"/>
  <c r="D213" i="18"/>
  <c r="B214" i="18"/>
  <c r="D229" i="18"/>
  <c r="E229" i="18"/>
  <c r="G229" i="18"/>
  <c r="H229" i="18"/>
  <c r="J229" i="18"/>
  <c r="K229" i="18"/>
  <c r="M229" i="18"/>
  <c r="N229" i="18"/>
  <c r="P229" i="18"/>
  <c r="Q229" i="18"/>
  <c r="S229" i="18"/>
  <c r="T229" i="18"/>
  <c r="V229" i="18"/>
  <c r="W229" i="18"/>
  <c r="Y229" i="18"/>
  <c r="Z229" i="18"/>
  <c r="AB229" i="18"/>
  <c r="AC229" i="18"/>
  <c r="AE229" i="18"/>
  <c r="AF229" i="18"/>
  <c r="B228" i="18"/>
  <c r="D228" i="18"/>
  <c r="E228" i="18"/>
  <c r="G228" i="18"/>
  <c r="H228" i="18"/>
  <c r="J228" i="18"/>
  <c r="K228" i="18"/>
  <c r="M228" i="18"/>
  <c r="N228" i="18"/>
  <c r="P228" i="18"/>
  <c r="Q228" i="18"/>
  <c r="S228" i="18"/>
  <c r="T228" i="18"/>
  <c r="V228" i="18"/>
  <c r="W228" i="18"/>
  <c r="Y228" i="18"/>
  <c r="Z228" i="18"/>
  <c r="AB228" i="18"/>
  <c r="AC228" i="18"/>
  <c r="AE228" i="18"/>
  <c r="AF228" i="18"/>
  <c r="B226" i="18"/>
  <c r="D226" i="18"/>
  <c r="E226" i="18"/>
  <c r="G226" i="18"/>
  <c r="H226" i="18"/>
  <c r="J226" i="18"/>
  <c r="K226" i="18"/>
  <c r="M226" i="18"/>
  <c r="N226" i="18"/>
  <c r="P226" i="18"/>
  <c r="Q226" i="18"/>
  <c r="S226" i="18"/>
  <c r="T226" i="18"/>
  <c r="V226" i="18"/>
  <c r="W226" i="18"/>
  <c r="Y226" i="18"/>
  <c r="Z226" i="18"/>
  <c r="AB226" i="18"/>
  <c r="AC226" i="18"/>
  <c r="AE226" i="18"/>
  <c r="AF226" i="18"/>
  <c r="B225" i="18"/>
  <c r="D225" i="18"/>
  <c r="E225" i="18"/>
  <c r="G225" i="18"/>
  <c r="H225" i="18"/>
  <c r="J225" i="18"/>
  <c r="K225" i="18"/>
  <c r="M225" i="18"/>
  <c r="N225" i="18"/>
  <c r="P225" i="18"/>
  <c r="Q225" i="18"/>
  <c r="S225" i="18"/>
  <c r="T225" i="18"/>
  <c r="V225" i="18"/>
  <c r="W225" i="18"/>
  <c r="Y225" i="18"/>
  <c r="Z225" i="18"/>
  <c r="AB225" i="18"/>
  <c r="AC225" i="18"/>
  <c r="AE225" i="18"/>
  <c r="AF225" i="18"/>
  <c r="B224" i="18"/>
  <c r="D224" i="18"/>
  <c r="E224" i="18"/>
  <c r="E207" i="18"/>
  <c r="G207" i="18"/>
  <c r="F207" i="18"/>
  <c r="G224" i="18"/>
  <c r="H224" i="18"/>
  <c r="H207" i="18"/>
  <c r="J207" i="18"/>
  <c r="I207" i="18"/>
  <c r="J224" i="18"/>
  <c r="K224" i="18"/>
  <c r="M224" i="18"/>
  <c r="N224" i="18"/>
  <c r="P224" i="18"/>
  <c r="Q224" i="18"/>
  <c r="S224" i="18"/>
  <c r="T224" i="18"/>
  <c r="V224" i="18"/>
  <c r="W224" i="18"/>
  <c r="Y224" i="18"/>
  <c r="Z224" i="18"/>
  <c r="AB224" i="18"/>
  <c r="AC224" i="18"/>
  <c r="AE224" i="18"/>
  <c r="AF224" i="18"/>
  <c r="B223" i="18"/>
  <c r="B207" i="18"/>
  <c r="D207" i="18"/>
  <c r="C207" i="18"/>
  <c r="D223" i="18"/>
  <c r="E223" i="18"/>
  <c r="G223" i="18"/>
  <c r="H223" i="18"/>
  <c r="J223" i="18"/>
  <c r="K223" i="18"/>
  <c r="M223" i="18"/>
  <c r="N223" i="18"/>
  <c r="P223" i="18"/>
  <c r="Q223" i="18"/>
  <c r="S223" i="18"/>
  <c r="T223" i="18"/>
  <c r="V223" i="18"/>
  <c r="W223" i="18"/>
  <c r="Y223" i="18"/>
  <c r="Z223" i="18"/>
  <c r="AB223" i="18"/>
  <c r="AC223" i="18"/>
  <c r="AE223" i="18"/>
  <c r="AF223" i="18"/>
  <c r="B222" i="18"/>
  <c r="D222" i="18"/>
  <c r="E222" i="18"/>
  <c r="G222" i="18"/>
  <c r="H222" i="18"/>
  <c r="J222" i="18"/>
  <c r="K222" i="18"/>
  <c r="M222" i="18"/>
  <c r="N222" i="18"/>
  <c r="P222" i="18"/>
  <c r="Q222" i="18"/>
  <c r="S222" i="18"/>
  <c r="T222" i="18"/>
  <c r="V222" i="18"/>
  <c r="W222" i="18"/>
  <c r="Y222" i="18"/>
  <c r="Z222" i="18"/>
  <c r="AB222" i="18"/>
  <c r="AC222" i="18"/>
  <c r="AE222" i="18"/>
  <c r="AF222" i="18"/>
  <c r="B220" i="18"/>
  <c r="D220" i="18"/>
  <c r="E220" i="18"/>
  <c r="G220" i="18"/>
  <c r="H220" i="18"/>
  <c r="J220" i="18"/>
  <c r="K220" i="18"/>
  <c r="M220" i="18"/>
  <c r="N220" i="18"/>
  <c r="P220" i="18"/>
  <c r="Q220" i="18"/>
  <c r="S220" i="18"/>
  <c r="T220" i="18"/>
  <c r="V220" i="18"/>
  <c r="W220" i="18"/>
  <c r="Y220" i="18"/>
  <c r="Z220" i="18"/>
  <c r="AB220" i="18"/>
  <c r="AC220" i="18"/>
  <c r="AE220" i="18"/>
  <c r="AF220" i="18"/>
  <c r="AG220" i="18"/>
  <c r="B219" i="18"/>
  <c r="D219" i="18"/>
  <c r="E219" i="18"/>
  <c r="G219" i="18"/>
  <c r="H219" i="18"/>
  <c r="J219" i="18"/>
  <c r="K219" i="18"/>
  <c r="M219" i="18"/>
  <c r="N219" i="18"/>
  <c r="P219" i="18"/>
  <c r="Q219" i="18"/>
  <c r="S219" i="18"/>
  <c r="T219" i="18"/>
  <c r="V219" i="18"/>
  <c r="W219" i="18"/>
  <c r="Y219" i="18"/>
  <c r="Z219" i="18"/>
  <c r="AB219" i="18"/>
  <c r="AC219" i="18"/>
  <c r="AE219" i="18"/>
  <c r="AF219" i="18"/>
  <c r="AG219" i="18"/>
  <c r="B218" i="18"/>
  <c r="D218" i="18"/>
  <c r="E218" i="18"/>
  <c r="G218" i="18"/>
  <c r="H218" i="18"/>
  <c r="J218" i="18"/>
  <c r="K218" i="18"/>
  <c r="M218" i="18"/>
  <c r="N218" i="18"/>
  <c r="P218" i="18"/>
  <c r="Q218" i="18"/>
  <c r="S218" i="18"/>
  <c r="T218" i="18"/>
  <c r="V218" i="18"/>
  <c r="W218" i="18"/>
  <c r="Y218" i="18"/>
  <c r="Z218" i="18"/>
  <c r="AB218" i="18"/>
  <c r="AC218" i="18"/>
  <c r="AE218" i="18"/>
  <c r="AF218" i="18"/>
  <c r="AG218" i="18"/>
  <c r="B217" i="18"/>
  <c r="D217" i="18"/>
  <c r="E217" i="18"/>
  <c r="G217" i="18"/>
  <c r="H217" i="18"/>
  <c r="J217" i="18"/>
  <c r="K217" i="18"/>
  <c r="M217" i="18"/>
  <c r="N217" i="18"/>
  <c r="P217" i="18"/>
  <c r="Q217" i="18"/>
  <c r="S217" i="18"/>
  <c r="T217" i="18"/>
  <c r="V217" i="18"/>
  <c r="W217" i="18"/>
  <c r="Y217" i="18"/>
  <c r="Z217" i="18"/>
  <c r="AB217" i="18"/>
  <c r="AC217" i="18"/>
  <c r="AE217" i="18"/>
  <c r="AF217" i="18"/>
  <c r="AG217" i="18"/>
  <c r="B216" i="18"/>
  <c r="D216" i="18"/>
  <c r="E216" i="18"/>
  <c r="G216" i="18"/>
  <c r="H216" i="18"/>
  <c r="J216" i="18"/>
  <c r="K216" i="18"/>
  <c r="M216" i="18"/>
  <c r="N216" i="18"/>
  <c r="P216" i="18"/>
  <c r="Q216" i="18"/>
  <c r="S216" i="18"/>
  <c r="T216" i="18"/>
  <c r="V216" i="18"/>
  <c r="W216" i="18"/>
  <c r="Y216" i="18"/>
  <c r="Z216" i="18"/>
  <c r="AB216" i="18"/>
  <c r="AC216" i="18"/>
  <c r="AE216" i="18"/>
  <c r="AF216" i="18"/>
  <c r="AG216" i="18"/>
  <c r="AC209" i="18"/>
  <c r="AE209" i="18"/>
  <c r="AC210" i="18"/>
  <c r="AE210" i="18"/>
  <c r="AC211" i="18"/>
  <c r="AE211" i="18"/>
  <c r="AC212" i="18"/>
  <c r="AE212" i="18"/>
  <c r="AC213" i="18"/>
  <c r="AE213" i="18"/>
  <c r="AC214" i="18"/>
  <c r="Z209" i="18"/>
  <c r="AB209" i="18"/>
  <c r="Z210" i="18"/>
  <c r="AB210" i="18"/>
  <c r="Z211" i="18"/>
  <c r="AB211" i="18"/>
  <c r="Z212" i="18"/>
  <c r="AB212" i="18"/>
  <c r="Z213" i="18"/>
  <c r="AB213" i="18"/>
  <c r="Z214" i="18"/>
  <c r="W209" i="18"/>
  <c r="Y209" i="18"/>
  <c r="W210" i="18"/>
  <c r="Y210" i="18"/>
  <c r="W211" i="18"/>
  <c r="Y211" i="18"/>
  <c r="W212" i="18"/>
  <c r="Y212" i="18"/>
  <c r="W213" i="18"/>
  <c r="Y213" i="18"/>
  <c r="W214" i="18"/>
  <c r="T209" i="18"/>
  <c r="V209" i="18"/>
  <c r="T210" i="18"/>
  <c r="V210" i="18"/>
  <c r="T211" i="18"/>
  <c r="V211" i="18"/>
  <c r="T212" i="18"/>
  <c r="V212" i="18"/>
  <c r="T213" i="18"/>
  <c r="V213" i="18"/>
  <c r="T214" i="18"/>
  <c r="Q209" i="18"/>
  <c r="S209" i="18"/>
  <c r="Q210" i="18"/>
  <c r="S210" i="18"/>
  <c r="Q211" i="18"/>
  <c r="S211" i="18"/>
  <c r="Q212" i="18"/>
  <c r="S212" i="18"/>
  <c r="Q213" i="18"/>
  <c r="S213" i="18"/>
  <c r="Q214" i="18"/>
  <c r="N209" i="18"/>
  <c r="P209" i="18"/>
  <c r="N210" i="18"/>
  <c r="P210" i="18"/>
  <c r="N211" i="18"/>
  <c r="P211" i="18"/>
  <c r="N212" i="18"/>
  <c r="P212" i="18"/>
  <c r="N213" i="18"/>
  <c r="P213" i="18"/>
  <c r="N214" i="18"/>
  <c r="K209" i="18"/>
  <c r="M209" i="18"/>
  <c r="K210" i="18"/>
  <c r="M210" i="18"/>
  <c r="K211" i="18"/>
  <c r="M211" i="18"/>
  <c r="K212" i="18"/>
  <c r="M212" i="18"/>
  <c r="K213" i="18"/>
  <c r="M213" i="18"/>
  <c r="K214" i="18"/>
  <c r="AE207" i="18"/>
  <c r="AC207" i="18"/>
  <c r="AD207" i="18"/>
  <c r="AB207" i="18"/>
  <c r="Z207" i="18"/>
  <c r="AA207" i="18"/>
  <c r="Y207" i="18"/>
  <c r="W207" i="18"/>
  <c r="X207" i="18"/>
  <c r="V207" i="18"/>
  <c r="T207" i="18"/>
  <c r="U207" i="18"/>
  <c r="S207" i="18"/>
  <c r="Q207" i="18"/>
  <c r="R207" i="18"/>
  <c r="P207" i="18"/>
  <c r="N207" i="18"/>
  <c r="O207" i="18"/>
  <c r="M207" i="18"/>
  <c r="K207" i="18"/>
  <c r="L207" i="18"/>
  <c r="AE200" i="18"/>
  <c r="AC200" i="18"/>
  <c r="AB200" i="18"/>
  <c r="Z200" i="18"/>
  <c r="Y200" i="18"/>
  <c r="W200" i="18"/>
  <c r="V200" i="18"/>
  <c r="T200" i="18"/>
  <c r="S200" i="18"/>
  <c r="Q200" i="18"/>
  <c r="P200" i="18"/>
  <c r="N200" i="18"/>
  <c r="M200" i="18"/>
  <c r="K200" i="18"/>
  <c r="J200" i="18"/>
  <c r="H200" i="18"/>
  <c r="G200" i="18"/>
  <c r="E200" i="18"/>
  <c r="D200" i="18"/>
  <c r="B200" i="18"/>
  <c r="AD199" i="18"/>
  <c r="AA199" i="18"/>
  <c r="X199" i="18"/>
  <c r="U199" i="18"/>
  <c r="R199" i="18"/>
  <c r="O199" i="18"/>
  <c r="L199" i="18"/>
  <c r="I199" i="18"/>
  <c r="F199" i="18"/>
  <c r="A199" i="18"/>
  <c r="AG198" i="18"/>
  <c r="AH198" i="18"/>
  <c r="AI198" i="18"/>
  <c r="AJ198" i="18"/>
  <c r="AK198" i="18"/>
  <c r="AL198" i="18"/>
  <c r="AM198" i="18"/>
  <c r="AN198" i="18"/>
  <c r="AO198" i="18"/>
  <c r="AP198" i="18"/>
  <c r="AQ198" i="18"/>
  <c r="AF198" i="18"/>
  <c r="AD198" i="18"/>
  <c r="AA198" i="18"/>
  <c r="X198" i="18"/>
  <c r="U198" i="18"/>
  <c r="R198" i="18"/>
  <c r="O198" i="18"/>
  <c r="L198" i="18"/>
  <c r="I198" i="18"/>
  <c r="F198" i="18"/>
  <c r="A198" i="18"/>
  <c r="AG197" i="18"/>
  <c r="AH197" i="18"/>
  <c r="AI197" i="18"/>
  <c r="AJ197" i="18"/>
  <c r="AK197" i="18"/>
  <c r="AL197" i="18"/>
  <c r="AM197" i="18"/>
  <c r="AN197" i="18"/>
  <c r="AO197" i="18"/>
  <c r="AP197" i="18"/>
  <c r="AQ197" i="18"/>
  <c r="AF197" i="18"/>
  <c r="AD197" i="18"/>
  <c r="AA197" i="18"/>
  <c r="X197" i="18"/>
  <c r="U197" i="18"/>
  <c r="R197" i="18"/>
  <c r="O197" i="18"/>
  <c r="L197" i="18"/>
  <c r="I197" i="18"/>
  <c r="F197" i="18"/>
  <c r="A197" i="18"/>
  <c r="AG196" i="18"/>
  <c r="AH196" i="18"/>
  <c r="AI196" i="18"/>
  <c r="AJ196" i="18"/>
  <c r="AK196" i="18"/>
  <c r="AL196" i="18"/>
  <c r="AM196" i="18"/>
  <c r="AN196" i="18"/>
  <c r="AO196" i="18"/>
  <c r="AP196" i="18"/>
  <c r="AQ196" i="18"/>
  <c r="AF196" i="18"/>
  <c r="AD196" i="18"/>
  <c r="AA196" i="18"/>
  <c r="X196" i="18"/>
  <c r="U196" i="18"/>
  <c r="R196" i="18"/>
  <c r="O196" i="18"/>
  <c r="L196" i="18"/>
  <c r="I196" i="18"/>
  <c r="F196" i="18"/>
  <c r="A196" i="18"/>
  <c r="AG195" i="18"/>
  <c r="AH195" i="18"/>
  <c r="AI195" i="18"/>
  <c r="AJ195" i="18"/>
  <c r="AK195" i="18"/>
  <c r="AL195" i="18"/>
  <c r="AM195" i="18"/>
  <c r="AN195" i="18"/>
  <c r="AO195" i="18"/>
  <c r="AP195" i="18"/>
  <c r="AQ195" i="18"/>
  <c r="AF195" i="18"/>
  <c r="AD195" i="18"/>
  <c r="AA195" i="18"/>
  <c r="X195" i="18"/>
  <c r="U195" i="18"/>
  <c r="R195" i="18"/>
  <c r="O195" i="18"/>
  <c r="L195" i="18"/>
  <c r="I195" i="18"/>
  <c r="F195" i="18"/>
  <c r="AG194" i="18"/>
  <c r="AH194" i="18"/>
  <c r="AI194" i="18"/>
  <c r="AJ194" i="18"/>
  <c r="AK194" i="18"/>
  <c r="AL194" i="18"/>
  <c r="AM194" i="18"/>
  <c r="AN194" i="18"/>
  <c r="AO194" i="18"/>
  <c r="AP194" i="18"/>
  <c r="AQ194" i="18"/>
  <c r="AF194" i="18"/>
  <c r="AD194" i="18"/>
  <c r="AA194" i="18"/>
  <c r="X194" i="18"/>
  <c r="U194" i="18"/>
  <c r="R194" i="18"/>
  <c r="O194" i="18"/>
  <c r="L194" i="18"/>
  <c r="I194" i="18"/>
  <c r="F194" i="18"/>
  <c r="AC192" i="18"/>
  <c r="Z192" i="18"/>
  <c r="W192" i="18"/>
  <c r="T192" i="18"/>
  <c r="Q192" i="18"/>
  <c r="N192" i="18"/>
  <c r="K192" i="18"/>
  <c r="H192" i="18"/>
  <c r="E192" i="18"/>
  <c r="E187" i="18"/>
  <c r="AC186" i="18"/>
  <c r="Z186" i="18"/>
  <c r="W186" i="18"/>
  <c r="R186" i="18"/>
  <c r="L186" i="18"/>
  <c r="A186" i="18"/>
  <c r="E185" i="18"/>
  <c r="AC184" i="18"/>
  <c r="Z184" i="18"/>
  <c r="W184" i="18"/>
  <c r="R184" i="18"/>
  <c r="L184" i="18"/>
  <c r="A184" i="18"/>
  <c r="AC265" i="17"/>
  <c r="E183" i="18"/>
  <c r="AC182" i="18"/>
  <c r="Z182" i="18"/>
  <c r="W182" i="18"/>
  <c r="R182" i="18"/>
  <c r="L182" i="18"/>
  <c r="A182" i="18"/>
  <c r="R264" i="17"/>
  <c r="E181" i="18"/>
  <c r="AC180" i="18"/>
  <c r="Z180" i="18"/>
  <c r="W180" i="18"/>
  <c r="R180" i="18"/>
  <c r="L180" i="18"/>
  <c r="A180" i="18"/>
  <c r="F266" i="17"/>
  <c r="E179" i="18"/>
  <c r="AC178" i="18"/>
  <c r="Z178" i="18"/>
  <c r="W178" i="18"/>
  <c r="R178" i="18"/>
  <c r="L178" i="18"/>
  <c r="A178" i="18"/>
  <c r="R177" i="18"/>
  <c r="L177" i="18"/>
  <c r="K176" i="18"/>
  <c r="A174" i="18"/>
  <c r="AE170" i="18"/>
  <c r="AE116" i="18"/>
  <c r="AE117" i="18"/>
  <c r="AE118" i="18"/>
  <c r="AE119" i="18"/>
  <c r="AE120" i="18"/>
  <c r="AE121" i="18"/>
  <c r="AC170" i="18"/>
  <c r="AC116" i="18"/>
  <c r="AC117" i="18"/>
  <c r="AC118" i="18"/>
  <c r="AC119" i="18"/>
  <c r="AC120" i="18"/>
  <c r="AC121" i="18"/>
  <c r="AB170" i="18"/>
  <c r="AB116" i="18"/>
  <c r="AB117" i="18"/>
  <c r="AB118" i="18"/>
  <c r="AB119" i="18"/>
  <c r="AB120" i="18"/>
  <c r="AB121" i="18"/>
  <c r="Z170" i="18"/>
  <c r="Z116" i="18"/>
  <c r="Z117" i="18"/>
  <c r="Z118" i="18"/>
  <c r="Z119" i="18"/>
  <c r="Z120" i="18"/>
  <c r="Z121" i="18"/>
  <c r="Y170" i="18"/>
  <c r="Y116" i="18"/>
  <c r="Y117" i="18"/>
  <c r="Y118" i="18"/>
  <c r="Y119" i="18"/>
  <c r="Y120" i="18"/>
  <c r="Y121" i="18"/>
  <c r="W170" i="18"/>
  <c r="W116" i="18"/>
  <c r="W117" i="18"/>
  <c r="W118" i="18"/>
  <c r="W119" i="18"/>
  <c r="W120" i="18"/>
  <c r="W121" i="18"/>
  <c r="V170" i="18"/>
  <c r="V116" i="18"/>
  <c r="V117" i="18"/>
  <c r="V118" i="18"/>
  <c r="V119" i="18"/>
  <c r="V120" i="18"/>
  <c r="V121" i="18"/>
  <c r="T170" i="18"/>
  <c r="T116" i="18"/>
  <c r="T117" i="18"/>
  <c r="T118" i="18"/>
  <c r="T119" i="18"/>
  <c r="T120" i="18"/>
  <c r="T121" i="18"/>
  <c r="S170" i="18"/>
  <c r="S116" i="18"/>
  <c r="S117" i="18"/>
  <c r="S118" i="18"/>
  <c r="S119" i="18"/>
  <c r="S120" i="18"/>
  <c r="S121" i="18"/>
  <c r="Q170" i="18"/>
  <c r="Q116" i="18"/>
  <c r="Q117" i="18"/>
  <c r="Q118" i="18"/>
  <c r="Q119" i="18"/>
  <c r="Q120" i="18"/>
  <c r="Q121" i="18"/>
  <c r="P170" i="18"/>
  <c r="P116" i="18"/>
  <c r="P117" i="18"/>
  <c r="P118" i="18"/>
  <c r="P119" i="18"/>
  <c r="P120" i="18"/>
  <c r="P121" i="18"/>
  <c r="N170" i="18"/>
  <c r="N116" i="18"/>
  <c r="N117" i="18"/>
  <c r="N118" i="18"/>
  <c r="N119" i="18"/>
  <c r="N120" i="18"/>
  <c r="N121" i="18"/>
  <c r="M170" i="18"/>
  <c r="M171" i="18" s="1"/>
  <c r="M116" i="18"/>
  <c r="M117" i="18"/>
  <c r="M118" i="18"/>
  <c r="M119" i="18"/>
  <c r="M120" i="18"/>
  <c r="M121" i="18"/>
  <c r="K170" i="18"/>
  <c r="K116" i="18"/>
  <c r="K117" i="18"/>
  <c r="K118" i="18"/>
  <c r="K119" i="18"/>
  <c r="K120" i="18"/>
  <c r="K121" i="18"/>
  <c r="E159" i="18"/>
  <c r="E149" i="18"/>
  <c r="G149" i="18"/>
  <c r="E116" i="18"/>
  <c r="E117" i="18"/>
  <c r="E118" i="18"/>
  <c r="E119" i="18"/>
  <c r="E120" i="18"/>
  <c r="E150" i="18"/>
  <c r="G150" i="18"/>
  <c r="E151" i="18"/>
  <c r="G116" i="18"/>
  <c r="G117" i="18"/>
  <c r="G118" i="18"/>
  <c r="G119" i="18"/>
  <c r="G120" i="18"/>
  <c r="G151" i="18"/>
  <c r="E152" i="18"/>
  <c r="G152" i="18"/>
  <c r="E153" i="18"/>
  <c r="G153" i="18"/>
  <c r="F156" i="18"/>
  <c r="G159" i="18"/>
  <c r="B159" i="18"/>
  <c r="D159" i="18"/>
  <c r="X264" i="17"/>
  <c r="E97" i="18"/>
  <c r="B166" i="18"/>
  <c r="G121" i="18"/>
  <c r="E121" i="18"/>
  <c r="J116" i="18"/>
  <c r="J117" i="18"/>
  <c r="J118" i="18"/>
  <c r="J119" i="18"/>
  <c r="J120" i="18"/>
  <c r="J121" i="18"/>
  <c r="E157" i="18"/>
  <c r="G157" i="18"/>
  <c r="B116" i="18"/>
  <c r="B117" i="18"/>
  <c r="B118" i="18"/>
  <c r="B119" i="18"/>
  <c r="B120" i="18"/>
  <c r="B149" i="18"/>
  <c r="D149" i="18"/>
  <c r="B150" i="18"/>
  <c r="D116" i="18"/>
  <c r="D117" i="18"/>
  <c r="D118" i="18"/>
  <c r="D119" i="18"/>
  <c r="D120" i="18"/>
  <c r="D150" i="18"/>
  <c r="B151" i="18"/>
  <c r="D151" i="18"/>
  <c r="B152" i="18"/>
  <c r="D152" i="18"/>
  <c r="B153" i="18"/>
  <c r="D153" i="18"/>
  <c r="C156" i="18"/>
  <c r="B157" i="18"/>
  <c r="D157" i="18"/>
  <c r="B265" i="17"/>
  <c r="E93" i="18"/>
  <c r="B164" i="18"/>
  <c r="B121" i="18"/>
  <c r="D121" i="18"/>
  <c r="H116" i="18"/>
  <c r="H117" i="18"/>
  <c r="H118" i="18"/>
  <c r="H119" i="18"/>
  <c r="H120" i="18"/>
  <c r="H121" i="18"/>
  <c r="B158" i="18"/>
  <c r="D158" i="18"/>
  <c r="M266" i="17"/>
  <c r="E95" i="18"/>
  <c r="B165" i="18"/>
  <c r="AC161" i="18"/>
  <c r="AE161" i="18"/>
  <c r="Z161" i="18"/>
  <c r="AB161" i="18"/>
  <c r="W161" i="18"/>
  <c r="Y161" i="18"/>
  <c r="T161" i="18"/>
  <c r="V161" i="18"/>
  <c r="Q161" i="18"/>
  <c r="S161" i="18"/>
  <c r="N161" i="18"/>
  <c r="P161" i="18"/>
  <c r="K161" i="18"/>
  <c r="M161" i="18"/>
  <c r="H161" i="18"/>
  <c r="J161" i="18"/>
  <c r="E161" i="18"/>
  <c r="G161" i="18"/>
  <c r="B161" i="18"/>
  <c r="D161" i="18"/>
  <c r="E101" i="18"/>
  <c r="B168" i="18"/>
  <c r="C168" i="18"/>
  <c r="D168" i="18" s="1"/>
  <c r="G168" i="18" s="1"/>
  <c r="J168" i="18" s="1"/>
  <c r="M168" i="18" s="1"/>
  <c r="P168" i="18" s="1"/>
  <c r="S168" i="18" s="1"/>
  <c r="V168" i="18" s="1"/>
  <c r="Y168" i="18" s="1"/>
  <c r="AB168" i="18" s="1"/>
  <c r="AE168" i="18" s="1"/>
  <c r="AU168" i="18" s="1"/>
  <c r="AT168" i="18"/>
  <c r="AC160" i="18"/>
  <c r="AE160" i="18"/>
  <c r="Z160" i="18"/>
  <c r="AB160" i="18"/>
  <c r="W160" i="18"/>
  <c r="Y160" i="18"/>
  <c r="T160" i="18"/>
  <c r="V160" i="18"/>
  <c r="Q160" i="18"/>
  <c r="S160" i="18"/>
  <c r="N160" i="18"/>
  <c r="P160" i="18"/>
  <c r="K160" i="18"/>
  <c r="M160" i="18"/>
  <c r="H160" i="18"/>
  <c r="J160" i="18"/>
  <c r="E160" i="18"/>
  <c r="G160" i="18"/>
  <c r="B160" i="18"/>
  <c r="D160" i="18"/>
  <c r="E99" i="18"/>
  <c r="B167" i="18" s="1"/>
  <c r="AC159" i="18"/>
  <c r="AE159" i="18"/>
  <c r="Z159" i="18"/>
  <c r="AB159" i="18"/>
  <c r="W159" i="18"/>
  <c r="Y159" i="18"/>
  <c r="T159" i="18"/>
  <c r="V159" i="18"/>
  <c r="Q159" i="18"/>
  <c r="S159" i="18"/>
  <c r="N159" i="18"/>
  <c r="P159" i="18"/>
  <c r="K159" i="18"/>
  <c r="M159" i="18"/>
  <c r="H159" i="18"/>
  <c r="H149" i="18"/>
  <c r="J149" i="18"/>
  <c r="H150" i="18"/>
  <c r="J150" i="18"/>
  <c r="H151" i="18"/>
  <c r="J151" i="18"/>
  <c r="H152" i="18"/>
  <c r="J152" i="18"/>
  <c r="H153" i="18"/>
  <c r="J153" i="18"/>
  <c r="I156" i="18"/>
  <c r="J159" i="18"/>
  <c r="AT166" i="18"/>
  <c r="AC158" i="18"/>
  <c r="AE158" i="18"/>
  <c r="Z158" i="18"/>
  <c r="AB158" i="18"/>
  <c r="W158" i="18"/>
  <c r="Y158" i="18"/>
  <c r="T158" i="18"/>
  <c r="V158" i="18"/>
  <c r="Q158" i="18"/>
  <c r="S158" i="18"/>
  <c r="N158" i="18"/>
  <c r="P158" i="18"/>
  <c r="K158" i="18"/>
  <c r="M158" i="18"/>
  <c r="H158" i="18"/>
  <c r="J158" i="18"/>
  <c r="E158" i="18"/>
  <c r="G158" i="18"/>
  <c r="AT165" i="18"/>
  <c r="AC157" i="18"/>
  <c r="AE157" i="18"/>
  <c r="Z157" i="18"/>
  <c r="AB157" i="18"/>
  <c r="W157" i="18"/>
  <c r="Y157" i="18"/>
  <c r="T157" i="18"/>
  <c r="V157" i="18"/>
  <c r="Q157" i="18"/>
  <c r="S157" i="18"/>
  <c r="N157" i="18"/>
  <c r="P157" i="18"/>
  <c r="K157" i="18"/>
  <c r="M157" i="18"/>
  <c r="H157" i="18"/>
  <c r="J157" i="18"/>
  <c r="AT164" i="18"/>
  <c r="AF161" i="18"/>
  <c r="AF160" i="18"/>
  <c r="AF159" i="18"/>
  <c r="AF158" i="18"/>
  <c r="AF157" i="18"/>
  <c r="AC149" i="18"/>
  <c r="AE149" i="18"/>
  <c r="AC150" i="18"/>
  <c r="AE150" i="18"/>
  <c r="AC151" i="18"/>
  <c r="AE151" i="18"/>
  <c r="AC152" i="18"/>
  <c r="AE152" i="18"/>
  <c r="AC153" i="18"/>
  <c r="AE153" i="18"/>
  <c r="AD156" i="18"/>
  <c r="Z149" i="18"/>
  <c r="AB149" i="18"/>
  <c r="Z150" i="18"/>
  <c r="AB150" i="18"/>
  <c r="Z151" i="18"/>
  <c r="AB151" i="18"/>
  <c r="Z152" i="18"/>
  <c r="AB152" i="18"/>
  <c r="Z153" i="18"/>
  <c r="AB153" i="18"/>
  <c r="AA156" i="18"/>
  <c r="W149" i="18"/>
  <c r="Y149" i="18"/>
  <c r="W150" i="18"/>
  <c r="Y150" i="18"/>
  <c r="W151" i="18"/>
  <c r="Y151" i="18"/>
  <c r="W152" i="18"/>
  <c r="Y152" i="18"/>
  <c r="W153" i="18"/>
  <c r="Y153" i="18"/>
  <c r="X156" i="18"/>
  <c r="T149" i="18"/>
  <c r="V149" i="18"/>
  <c r="T150" i="18"/>
  <c r="V150" i="18"/>
  <c r="T151" i="18"/>
  <c r="V151" i="18"/>
  <c r="T152" i="18"/>
  <c r="V152" i="18"/>
  <c r="T153" i="18"/>
  <c r="V153" i="18"/>
  <c r="U156" i="18"/>
  <c r="Q149" i="18"/>
  <c r="S149" i="18"/>
  <c r="Q150" i="18"/>
  <c r="S150" i="18"/>
  <c r="Q151" i="18"/>
  <c r="S151" i="18"/>
  <c r="Q152" i="18"/>
  <c r="S152" i="18"/>
  <c r="Q153" i="18"/>
  <c r="S153" i="18"/>
  <c r="R156" i="18"/>
  <c r="N149" i="18"/>
  <c r="P149" i="18"/>
  <c r="N150" i="18"/>
  <c r="P150" i="18"/>
  <c r="N151" i="18"/>
  <c r="P151" i="18"/>
  <c r="N152" i="18"/>
  <c r="P152" i="18"/>
  <c r="N153" i="18"/>
  <c r="P153" i="18"/>
  <c r="O156" i="18"/>
  <c r="K149" i="18"/>
  <c r="M149" i="18"/>
  <c r="K150" i="18"/>
  <c r="M150" i="18"/>
  <c r="K151" i="18"/>
  <c r="M151" i="18"/>
  <c r="K152" i="18"/>
  <c r="M152" i="18"/>
  <c r="K153" i="18"/>
  <c r="M153" i="18"/>
  <c r="L156" i="18"/>
  <c r="AF153" i="18"/>
  <c r="AG153" i="18"/>
  <c r="AF152" i="18"/>
  <c r="AG152" i="18"/>
  <c r="AF151" i="18"/>
  <c r="AG151" i="18"/>
  <c r="AF150" i="18"/>
  <c r="AG150" i="18"/>
  <c r="AF149" i="18"/>
  <c r="AG149" i="18"/>
  <c r="B147" i="18"/>
  <c r="D147" i="18"/>
  <c r="E147" i="18"/>
  <c r="G147" i="18"/>
  <c r="H147" i="18"/>
  <c r="J147" i="18"/>
  <c r="K147" i="18"/>
  <c r="M147" i="18"/>
  <c r="N147" i="18"/>
  <c r="P147" i="18"/>
  <c r="Q147" i="18"/>
  <c r="S147" i="18"/>
  <c r="T147" i="18"/>
  <c r="V147" i="18"/>
  <c r="W147" i="18"/>
  <c r="Y147" i="18"/>
  <c r="Z147" i="18"/>
  <c r="AB147" i="18"/>
  <c r="AC147" i="18"/>
  <c r="AE147" i="18"/>
  <c r="AF147" i="18"/>
  <c r="B146" i="18"/>
  <c r="D146" i="18"/>
  <c r="E146" i="18"/>
  <c r="G146" i="18"/>
  <c r="H146" i="18"/>
  <c r="J146" i="18"/>
  <c r="K146" i="18"/>
  <c r="M146" i="18"/>
  <c r="N146" i="18"/>
  <c r="P146" i="18"/>
  <c r="Q146" i="18"/>
  <c r="S146" i="18"/>
  <c r="T146" i="18"/>
  <c r="V146" i="18"/>
  <c r="W146" i="18"/>
  <c r="Y146" i="18"/>
  <c r="Z146" i="18"/>
  <c r="AB146" i="18"/>
  <c r="AC146" i="18"/>
  <c r="AE146" i="18"/>
  <c r="AF146" i="18"/>
  <c r="B145" i="18"/>
  <c r="D145" i="18"/>
  <c r="E145" i="18"/>
  <c r="E124" i="18"/>
  <c r="G124" i="18"/>
  <c r="E125" i="18"/>
  <c r="G125" i="18"/>
  <c r="E126" i="18"/>
  <c r="G126" i="18"/>
  <c r="E127" i="18"/>
  <c r="G127" i="18"/>
  <c r="E128" i="18"/>
  <c r="G128" i="18"/>
  <c r="E129" i="18"/>
  <c r="G145" i="18"/>
  <c r="H145" i="18"/>
  <c r="H124" i="18"/>
  <c r="J124" i="18"/>
  <c r="H125" i="18"/>
  <c r="J125" i="18"/>
  <c r="H126" i="18"/>
  <c r="J126" i="18"/>
  <c r="H127" i="18"/>
  <c r="J127" i="18"/>
  <c r="H128" i="18"/>
  <c r="J128" i="18"/>
  <c r="H129" i="18"/>
  <c r="J145" i="18"/>
  <c r="K145" i="18"/>
  <c r="M145" i="18"/>
  <c r="N145" i="18"/>
  <c r="P145" i="18"/>
  <c r="Q145" i="18"/>
  <c r="S145" i="18"/>
  <c r="T145" i="18"/>
  <c r="V145" i="18"/>
  <c r="W145" i="18"/>
  <c r="Y145" i="18"/>
  <c r="Z145" i="18"/>
  <c r="AB145" i="18"/>
  <c r="AC145" i="18"/>
  <c r="AE145" i="18"/>
  <c r="AF145" i="18"/>
  <c r="B144" i="18"/>
  <c r="B124" i="18"/>
  <c r="D124" i="18"/>
  <c r="B125" i="18"/>
  <c r="D125" i="18"/>
  <c r="B126" i="18"/>
  <c r="D126" i="18"/>
  <c r="B127" i="18"/>
  <c r="D127" i="18"/>
  <c r="B128" i="18"/>
  <c r="D128" i="18"/>
  <c r="B129" i="18"/>
  <c r="D144" i="18"/>
  <c r="E144" i="18"/>
  <c r="G144" i="18"/>
  <c r="H144" i="18"/>
  <c r="J144" i="18"/>
  <c r="K144" i="18"/>
  <c r="M144" i="18"/>
  <c r="N144" i="18"/>
  <c r="P144" i="18"/>
  <c r="Q144" i="18"/>
  <c r="S144" i="18"/>
  <c r="T144" i="18"/>
  <c r="V144" i="18"/>
  <c r="W144" i="18"/>
  <c r="Y144" i="18"/>
  <c r="Z144" i="18"/>
  <c r="AB144" i="18"/>
  <c r="AC144" i="18"/>
  <c r="AE144" i="18"/>
  <c r="AF144" i="18"/>
  <c r="B143" i="18"/>
  <c r="D143" i="18"/>
  <c r="E143" i="18"/>
  <c r="G143" i="18"/>
  <c r="H143" i="18"/>
  <c r="J143" i="18"/>
  <c r="K143" i="18"/>
  <c r="M143" i="18"/>
  <c r="N143" i="18"/>
  <c r="P143" i="18"/>
  <c r="Q143" i="18"/>
  <c r="S143" i="18"/>
  <c r="T143" i="18"/>
  <c r="V143" i="18"/>
  <c r="W143" i="18"/>
  <c r="Y143" i="18"/>
  <c r="Z143" i="18"/>
  <c r="AB143" i="18"/>
  <c r="AC143" i="18"/>
  <c r="AE143" i="18"/>
  <c r="AF143" i="18"/>
  <c r="B141" i="18"/>
  <c r="D141" i="18"/>
  <c r="E141" i="18"/>
  <c r="G141" i="18"/>
  <c r="H141" i="18"/>
  <c r="J141" i="18"/>
  <c r="K141" i="18"/>
  <c r="M141" i="18"/>
  <c r="N141" i="18"/>
  <c r="P141" i="18"/>
  <c r="Q141" i="18"/>
  <c r="S141" i="18"/>
  <c r="T141" i="18"/>
  <c r="V141" i="18"/>
  <c r="W141" i="18"/>
  <c r="Y141" i="18"/>
  <c r="Z141" i="18"/>
  <c r="AB141" i="18"/>
  <c r="AC141" i="18"/>
  <c r="AE141" i="18"/>
  <c r="AF141" i="18"/>
  <c r="B140" i="18"/>
  <c r="D140" i="18"/>
  <c r="E140" i="18"/>
  <c r="G140" i="18"/>
  <c r="H140" i="18"/>
  <c r="J140" i="18"/>
  <c r="K140" i="18"/>
  <c r="M140" i="18"/>
  <c r="N140" i="18"/>
  <c r="P140" i="18"/>
  <c r="Q140" i="18"/>
  <c r="S140" i="18"/>
  <c r="T140" i="18"/>
  <c r="V140" i="18"/>
  <c r="W140" i="18"/>
  <c r="Y140" i="18"/>
  <c r="Z140" i="18"/>
  <c r="AB140" i="18"/>
  <c r="AC140" i="18"/>
  <c r="AE140" i="18"/>
  <c r="AF140" i="18"/>
  <c r="B139" i="18"/>
  <c r="D139" i="18"/>
  <c r="E139" i="18"/>
  <c r="E122" i="18"/>
  <c r="G122" i="18"/>
  <c r="F122" i="18"/>
  <c r="G139" i="18"/>
  <c r="H139" i="18"/>
  <c r="H122" i="18"/>
  <c r="J122" i="18"/>
  <c r="I122" i="18"/>
  <c r="J139" i="18"/>
  <c r="K139" i="18"/>
  <c r="M139" i="18"/>
  <c r="N139" i="18"/>
  <c r="P139" i="18"/>
  <c r="Q139" i="18"/>
  <c r="S139" i="18"/>
  <c r="T139" i="18"/>
  <c r="V139" i="18"/>
  <c r="W139" i="18"/>
  <c r="Y139" i="18"/>
  <c r="Z139" i="18"/>
  <c r="AB139" i="18"/>
  <c r="AC139" i="18"/>
  <c r="AE139" i="18"/>
  <c r="AF139" i="18"/>
  <c r="B138" i="18"/>
  <c r="B122" i="18"/>
  <c r="D122" i="18"/>
  <c r="C122" i="18"/>
  <c r="D138" i="18"/>
  <c r="E138" i="18"/>
  <c r="G138" i="18"/>
  <c r="H138" i="18"/>
  <c r="J138" i="18"/>
  <c r="K138" i="18"/>
  <c r="M138" i="18"/>
  <c r="N138" i="18"/>
  <c r="P138" i="18"/>
  <c r="Q138" i="18"/>
  <c r="S138" i="18"/>
  <c r="T138" i="18"/>
  <c r="V138" i="18"/>
  <c r="W138" i="18"/>
  <c r="Y138" i="18"/>
  <c r="Z138" i="18"/>
  <c r="AB138" i="18"/>
  <c r="AC138" i="18"/>
  <c r="AE138" i="18"/>
  <c r="AF138" i="18"/>
  <c r="B137" i="18"/>
  <c r="D137" i="18"/>
  <c r="E137" i="18"/>
  <c r="G137" i="18"/>
  <c r="H137" i="18"/>
  <c r="J137" i="18"/>
  <c r="K137" i="18"/>
  <c r="M137" i="18"/>
  <c r="N137" i="18"/>
  <c r="P137" i="18"/>
  <c r="Q137" i="18"/>
  <c r="S137" i="18"/>
  <c r="T137" i="18"/>
  <c r="V137" i="18"/>
  <c r="W137" i="18"/>
  <c r="Y137" i="18"/>
  <c r="Z137" i="18"/>
  <c r="AB137" i="18"/>
  <c r="AC137" i="18"/>
  <c r="AE137" i="18"/>
  <c r="AF137" i="18"/>
  <c r="B135" i="18"/>
  <c r="D135" i="18"/>
  <c r="E135" i="18"/>
  <c r="G135" i="18"/>
  <c r="H135" i="18"/>
  <c r="J135" i="18"/>
  <c r="K135" i="18"/>
  <c r="M135" i="18"/>
  <c r="N135" i="18"/>
  <c r="P135" i="18"/>
  <c r="Q135" i="18"/>
  <c r="S135" i="18"/>
  <c r="T135" i="18"/>
  <c r="V135" i="18"/>
  <c r="W135" i="18"/>
  <c r="Y135" i="18"/>
  <c r="Z135" i="18"/>
  <c r="AB135" i="18"/>
  <c r="AC135" i="18"/>
  <c r="AE135" i="18"/>
  <c r="AF135" i="18"/>
  <c r="AG135" i="18"/>
  <c r="B134" i="18"/>
  <c r="D134" i="18"/>
  <c r="E134" i="18"/>
  <c r="G134" i="18"/>
  <c r="H134" i="18"/>
  <c r="J134" i="18"/>
  <c r="K134" i="18"/>
  <c r="M134" i="18"/>
  <c r="N134" i="18"/>
  <c r="P134" i="18"/>
  <c r="Q134" i="18"/>
  <c r="S134" i="18"/>
  <c r="T134" i="18"/>
  <c r="V134" i="18"/>
  <c r="W134" i="18"/>
  <c r="Y134" i="18"/>
  <c r="Z134" i="18"/>
  <c r="AB134" i="18"/>
  <c r="AC134" i="18"/>
  <c r="AE134" i="18"/>
  <c r="AF134" i="18"/>
  <c r="AG134" i="18"/>
  <c r="B133" i="18"/>
  <c r="D133" i="18"/>
  <c r="E133" i="18"/>
  <c r="G133" i="18"/>
  <c r="H133" i="18"/>
  <c r="J133" i="18"/>
  <c r="K133" i="18"/>
  <c r="M133" i="18"/>
  <c r="N133" i="18"/>
  <c r="P133" i="18"/>
  <c r="Q133" i="18"/>
  <c r="S133" i="18"/>
  <c r="T133" i="18"/>
  <c r="V133" i="18"/>
  <c r="W133" i="18"/>
  <c r="Y133" i="18"/>
  <c r="Z133" i="18"/>
  <c r="AB133" i="18"/>
  <c r="AC133" i="18"/>
  <c r="AE133" i="18"/>
  <c r="AF133" i="18"/>
  <c r="AG133" i="18"/>
  <c r="B132" i="18"/>
  <c r="D132" i="18"/>
  <c r="E132" i="18"/>
  <c r="G132" i="18"/>
  <c r="H132" i="18"/>
  <c r="J132" i="18"/>
  <c r="K132" i="18"/>
  <c r="M132" i="18"/>
  <c r="N132" i="18"/>
  <c r="P132" i="18"/>
  <c r="Q132" i="18"/>
  <c r="S132" i="18"/>
  <c r="T132" i="18"/>
  <c r="V132" i="18"/>
  <c r="W132" i="18"/>
  <c r="Y132" i="18"/>
  <c r="Z132" i="18"/>
  <c r="AB132" i="18"/>
  <c r="AC132" i="18"/>
  <c r="AE132" i="18"/>
  <c r="AF132" i="18"/>
  <c r="AG132" i="18"/>
  <c r="B131" i="18"/>
  <c r="D131" i="18"/>
  <c r="E131" i="18"/>
  <c r="G131" i="18"/>
  <c r="H131" i="18"/>
  <c r="J131" i="18"/>
  <c r="K131" i="18"/>
  <c r="M131" i="18"/>
  <c r="N131" i="18"/>
  <c r="P131" i="18"/>
  <c r="Q131" i="18"/>
  <c r="S131" i="18"/>
  <c r="T131" i="18"/>
  <c r="V131" i="18"/>
  <c r="W131" i="18"/>
  <c r="Y131" i="18"/>
  <c r="Z131" i="18"/>
  <c r="AB131" i="18"/>
  <c r="AC131" i="18"/>
  <c r="AE131" i="18"/>
  <c r="AF131" i="18"/>
  <c r="AG131" i="18"/>
  <c r="AC124" i="18"/>
  <c r="AE124" i="18"/>
  <c r="AC125" i="18"/>
  <c r="AE125" i="18"/>
  <c r="AC126" i="18"/>
  <c r="AE126" i="18"/>
  <c r="AC127" i="18"/>
  <c r="AE127" i="18"/>
  <c r="AC128" i="18"/>
  <c r="AE128" i="18"/>
  <c r="AC129" i="18"/>
  <c r="Z124" i="18"/>
  <c r="AB124" i="18"/>
  <c r="Z125" i="18"/>
  <c r="AB125" i="18"/>
  <c r="Z126" i="18"/>
  <c r="AB126" i="18"/>
  <c r="Z127" i="18"/>
  <c r="AB127" i="18"/>
  <c r="Z128" i="18"/>
  <c r="AB128" i="18"/>
  <c r="Z129" i="18"/>
  <c r="W124" i="18"/>
  <c r="Y124" i="18"/>
  <c r="W125" i="18"/>
  <c r="Y125" i="18"/>
  <c r="W126" i="18"/>
  <c r="Y126" i="18"/>
  <c r="W127" i="18"/>
  <c r="Y127" i="18"/>
  <c r="W128" i="18"/>
  <c r="Y128" i="18"/>
  <c r="W129" i="18"/>
  <c r="T124" i="18"/>
  <c r="V124" i="18"/>
  <c r="T125" i="18"/>
  <c r="V125" i="18"/>
  <c r="T126" i="18"/>
  <c r="V126" i="18"/>
  <c r="T127" i="18"/>
  <c r="V127" i="18"/>
  <c r="T128" i="18"/>
  <c r="V128" i="18"/>
  <c r="T129" i="18"/>
  <c r="Q124" i="18"/>
  <c r="S124" i="18"/>
  <c r="Q125" i="18"/>
  <c r="S125" i="18"/>
  <c r="Q126" i="18"/>
  <c r="S126" i="18"/>
  <c r="Q127" i="18"/>
  <c r="S127" i="18"/>
  <c r="Q128" i="18"/>
  <c r="S128" i="18"/>
  <c r="Q129" i="18"/>
  <c r="N124" i="18"/>
  <c r="P124" i="18"/>
  <c r="N125" i="18"/>
  <c r="P125" i="18"/>
  <c r="N126" i="18"/>
  <c r="P126" i="18"/>
  <c r="N127" i="18"/>
  <c r="P127" i="18"/>
  <c r="N128" i="18"/>
  <c r="P128" i="18"/>
  <c r="N129" i="18"/>
  <c r="K124" i="18"/>
  <c r="M124" i="18"/>
  <c r="K125" i="18"/>
  <c r="M125" i="18"/>
  <c r="K126" i="18"/>
  <c r="M126" i="18"/>
  <c r="K127" i="18"/>
  <c r="M127" i="18"/>
  <c r="K128" i="18"/>
  <c r="M128" i="18"/>
  <c r="K129" i="18"/>
  <c r="AE122" i="18"/>
  <c r="AC122" i="18"/>
  <c r="AD122" i="18"/>
  <c r="AB122" i="18"/>
  <c r="Z122" i="18"/>
  <c r="AA122" i="18"/>
  <c r="Y122" i="18"/>
  <c r="W122" i="18"/>
  <c r="X122" i="18"/>
  <c r="V122" i="18"/>
  <c r="T122" i="18"/>
  <c r="U122" i="18"/>
  <c r="S122" i="18"/>
  <c r="Q122" i="18"/>
  <c r="R122" i="18"/>
  <c r="P122" i="18"/>
  <c r="N122" i="18"/>
  <c r="O122" i="18"/>
  <c r="M122" i="18"/>
  <c r="K122" i="18"/>
  <c r="L122" i="18"/>
  <c r="AE115" i="18"/>
  <c r="AC115" i="18"/>
  <c r="AB115" i="18"/>
  <c r="Z115" i="18"/>
  <c r="Y115" i="18"/>
  <c r="W115" i="18"/>
  <c r="V115" i="18"/>
  <c r="T115" i="18"/>
  <c r="S115" i="18"/>
  <c r="Q115" i="18"/>
  <c r="P115" i="18"/>
  <c r="N115" i="18"/>
  <c r="M115" i="18"/>
  <c r="K115" i="18"/>
  <c r="J115" i="18"/>
  <c r="H115" i="18"/>
  <c r="G115" i="18"/>
  <c r="E115" i="18"/>
  <c r="D115" i="18"/>
  <c r="B115" i="18"/>
  <c r="AD114" i="18"/>
  <c r="AA114" i="18"/>
  <c r="X114" i="18"/>
  <c r="U114" i="18"/>
  <c r="R114" i="18"/>
  <c r="O114" i="18"/>
  <c r="L114" i="18"/>
  <c r="I114" i="18"/>
  <c r="F114" i="18"/>
  <c r="A114" i="18"/>
  <c r="AG113" i="18"/>
  <c r="AH113" i="18"/>
  <c r="AI113" i="18"/>
  <c r="AJ113" i="18"/>
  <c r="AK113" i="18"/>
  <c r="AL113" i="18"/>
  <c r="AM113" i="18"/>
  <c r="AN113" i="18"/>
  <c r="AO113" i="18"/>
  <c r="AP113" i="18"/>
  <c r="AQ113" i="18"/>
  <c r="AF113" i="18"/>
  <c r="AD113" i="18"/>
  <c r="AA113" i="18"/>
  <c r="X113" i="18"/>
  <c r="U113" i="18"/>
  <c r="R113" i="18"/>
  <c r="O113" i="18"/>
  <c r="L113" i="18"/>
  <c r="I113" i="18"/>
  <c r="F113" i="18"/>
  <c r="A113" i="18"/>
  <c r="AG112" i="18"/>
  <c r="AH112" i="18"/>
  <c r="AI112" i="18"/>
  <c r="AJ112" i="18"/>
  <c r="AK112" i="18"/>
  <c r="AL112" i="18"/>
  <c r="AM112" i="18"/>
  <c r="AN112" i="18"/>
  <c r="AO112" i="18"/>
  <c r="AP112" i="18"/>
  <c r="AQ112" i="18"/>
  <c r="AF112" i="18"/>
  <c r="AD112" i="18"/>
  <c r="AA112" i="18"/>
  <c r="X112" i="18"/>
  <c r="U112" i="18"/>
  <c r="R112" i="18"/>
  <c r="O112" i="18"/>
  <c r="L112" i="18"/>
  <c r="I112" i="18"/>
  <c r="F112" i="18"/>
  <c r="A112" i="18"/>
  <c r="AG111" i="18"/>
  <c r="AH111" i="18"/>
  <c r="AI111" i="18"/>
  <c r="AJ111" i="18"/>
  <c r="AK111" i="18"/>
  <c r="AL111" i="18"/>
  <c r="AM111" i="18"/>
  <c r="AN111" i="18"/>
  <c r="AO111" i="18"/>
  <c r="AP111" i="18"/>
  <c r="AQ111" i="18"/>
  <c r="AF111" i="18"/>
  <c r="AD111" i="18"/>
  <c r="AA111" i="18"/>
  <c r="X111" i="18"/>
  <c r="U111" i="18"/>
  <c r="R111" i="18"/>
  <c r="O111" i="18"/>
  <c r="L111" i="18"/>
  <c r="I111" i="18"/>
  <c r="F111" i="18"/>
  <c r="A111" i="18"/>
  <c r="AG110" i="18"/>
  <c r="AH110" i="18"/>
  <c r="AI110" i="18"/>
  <c r="AJ110" i="18"/>
  <c r="AK110" i="18"/>
  <c r="AL110" i="18"/>
  <c r="AM110" i="18"/>
  <c r="AN110" i="18"/>
  <c r="AO110" i="18"/>
  <c r="AP110" i="18"/>
  <c r="AQ110" i="18"/>
  <c r="AF110" i="18"/>
  <c r="AD110" i="18"/>
  <c r="AA110" i="18"/>
  <c r="X110" i="18"/>
  <c r="U110" i="18"/>
  <c r="R110" i="18"/>
  <c r="O110" i="18"/>
  <c r="L110" i="18"/>
  <c r="I110" i="18"/>
  <c r="F110" i="18"/>
  <c r="AG109" i="18"/>
  <c r="AH109" i="18"/>
  <c r="AI109" i="18"/>
  <c r="AJ109" i="18"/>
  <c r="AK109" i="18"/>
  <c r="AL109" i="18"/>
  <c r="AM109" i="18"/>
  <c r="AN109" i="18"/>
  <c r="AO109" i="18"/>
  <c r="AP109" i="18"/>
  <c r="AQ109" i="18"/>
  <c r="AF109" i="18"/>
  <c r="AD109" i="18"/>
  <c r="AA109" i="18"/>
  <c r="X109" i="18"/>
  <c r="U109" i="18"/>
  <c r="R109" i="18"/>
  <c r="O109" i="18"/>
  <c r="L109" i="18"/>
  <c r="I109" i="18"/>
  <c r="F109" i="18"/>
  <c r="AC107" i="18"/>
  <c r="Z107" i="18"/>
  <c r="W107" i="18"/>
  <c r="T107" i="18"/>
  <c r="Q107" i="18"/>
  <c r="N107" i="18"/>
  <c r="K107" i="18"/>
  <c r="H107" i="18"/>
  <c r="E107" i="18"/>
  <c r="E102" i="18"/>
  <c r="AC101" i="18"/>
  <c r="Z101" i="18"/>
  <c r="W101" i="18"/>
  <c r="R101" i="18"/>
  <c r="L101" i="18"/>
  <c r="A101" i="18"/>
  <c r="E100" i="18"/>
  <c r="AC99" i="18"/>
  <c r="Z99" i="18"/>
  <c r="W99" i="18"/>
  <c r="R99" i="18"/>
  <c r="L99" i="18"/>
  <c r="A99" i="18"/>
  <c r="AC264" i="17"/>
  <c r="E98" i="18"/>
  <c r="AC97" i="18"/>
  <c r="Z97" i="18"/>
  <c r="W97" i="18"/>
  <c r="R97" i="18"/>
  <c r="L97" i="18"/>
  <c r="A97" i="18"/>
  <c r="R266" i="17"/>
  <c r="E96" i="18"/>
  <c r="AC95" i="18"/>
  <c r="Z95" i="18"/>
  <c r="W95" i="18"/>
  <c r="R95" i="18"/>
  <c r="L95" i="18"/>
  <c r="A95" i="18"/>
  <c r="F265" i="17"/>
  <c r="E94" i="18"/>
  <c r="AC93" i="18"/>
  <c r="Z93" i="18"/>
  <c r="W93" i="18"/>
  <c r="R93" i="18"/>
  <c r="L93" i="18"/>
  <c r="A93" i="18"/>
  <c r="R92" i="18"/>
  <c r="L92" i="18"/>
  <c r="K91" i="18"/>
  <c r="A89" i="18"/>
  <c r="AE85" i="18"/>
  <c r="AE31" i="18"/>
  <c r="AE32" i="18"/>
  <c r="AE33" i="18"/>
  <c r="AE34" i="18"/>
  <c r="AE35" i="18"/>
  <c r="AE36" i="18"/>
  <c r="AC85" i="18"/>
  <c r="AC31" i="18"/>
  <c r="AC32" i="18"/>
  <c r="AC33" i="18"/>
  <c r="AC34" i="18"/>
  <c r="AC35" i="18"/>
  <c r="AC36" i="18"/>
  <c r="AB85" i="18"/>
  <c r="AB31" i="18"/>
  <c r="AB32" i="18"/>
  <c r="AB33" i="18"/>
  <c r="AB34" i="18"/>
  <c r="AB35" i="18"/>
  <c r="AB36" i="18"/>
  <c r="Z85" i="18"/>
  <c r="Z31" i="18"/>
  <c r="Z32" i="18"/>
  <c r="Z33" i="18"/>
  <c r="Z34" i="18"/>
  <c r="Z35" i="18"/>
  <c r="Z36" i="18"/>
  <c r="Y85" i="18"/>
  <c r="Y31" i="18"/>
  <c r="Y32" i="18"/>
  <c r="Y33" i="18"/>
  <c r="Y34" i="18"/>
  <c r="Y35" i="18"/>
  <c r="Y36" i="18"/>
  <c r="W85" i="18"/>
  <c r="W31" i="18"/>
  <c r="W32" i="18"/>
  <c r="W33" i="18"/>
  <c r="W34" i="18"/>
  <c r="W35" i="18"/>
  <c r="W36" i="18"/>
  <c r="V85" i="18"/>
  <c r="V31" i="18"/>
  <c r="V32" i="18"/>
  <c r="V33" i="18"/>
  <c r="V34" i="18"/>
  <c r="V35" i="18"/>
  <c r="V36" i="18"/>
  <c r="T85" i="18"/>
  <c r="T31" i="18"/>
  <c r="T32" i="18"/>
  <c r="T33" i="18"/>
  <c r="T34" i="18"/>
  <c r="T35" i="18"/>
  <c r="T36" i="18"/>
  <c r="S85" i="18"/>
  <c r="S31" i="18"/>
  <c r="S32" i="18"/>
  <c r="S33" i="18"/>
  <c r="S34" i="18"/>
  <c r="S35" i="18"/>
  <c r="S36" i="18"/>
  <c r="Q85" i="18"/>
  <c r="Q86" i="18" s="1"/>
  <c r="Q87" i="18" s="1"/>
  <c r="Q31" i="18"/>
  <c r="Q32" i="18"/>
  <c r="Q33" i="18"/>
  <c r="Q34" i="18"/>
  <c r="Q35" i="18"/>
  <c r="Q36" i="18"/>
  <c r="P85" i="18"/>
  <c r="P31" i="18"/>
  <c r="P32" i="18"/>
  <c r="P33" i="18"/>
  <c r="P34" i="18"/>
  <c r="P35" i="18"/>
  <c r="P36" i="18"/>
  <c r="N85" i="18"/>
  <c r="N31" i="18"/>
  <c r="N32" i="18"/>
  <c r="N33" i="18"/>
  <c r="N34" i="18"/>
  <c r="N35" i="18"/>
  <c r="N36" i="18"/>
  <c r="M85" i="18"/>
  <c r="M31" i="18"/>
  <c r="M32" i="18"/>
  <c r="M33" i="18"/>
  <c r="M34" i="18"/>
  <c r="M35" i="18"/>
  <c r="M36" i="18"/>
  <c r="K85" i="18"/>
  <c r="K86" i="18" s="1"/>
  <c r="K31" i="18"/>
  <c r="K32" i="18"/>
  <c r="K33" i="18"/>
  <c r="K34" i="18"/>
  <c r="K35" i="18"/>
  <c r="K36" i="18"/>
  <c r="E74" i="18"/>
  <c r="E64" i="18"/>
  <c r="G64" i="18"/>
  <c r="E31" i="18"/>
  <c r="E32" i="18"/>
  <c r="E33" i="18"/>
  <c r="E34" i="18"/>
  <c r="E35" i="18"/>
  <c r="E65" i="18"/>
  <c r="G65" i="18"/>
  <c r="E66" i="18"/>
  <c r="G31" i="18"/>
  <c r="G32" i="18"/>
  <c r="G33" i="18"/>
  <c r="G34" i="18"/>
  <c r="G35" i="18"/>
  <c r="G66" i="18"/>
  <c r="E67" i="18"/>
  <c r="G67" i="18"/>
  <c r="E68" i="18"/>
  <c r="G68" i="18"/>
  <c r="F71" i="18"/>
  <c r="G74" i="18"/>
  <c r="B74" i="18"/>
  <c r="D74" i="18"/>
  <c r="X266" i="17"/>
  <c r="E12" i="18"/>
  <c r="B81" i="18"/>
  <c r="G36" i="18"/>
  <c r="E36" i="18"/>
  <c r="J31" i="18"/>
  <c r="J32" i="18"/>
  <c r="J33" i="18"/>
  <c r="J34" i="18"/>
  <c r="J35" i="18"/>
  <c r="J36" i="18"/>
  <c r="E72" i="18"/>
  <c r="G72" i="18"/>
  <c r="B31" i="18"/>
  <c r="B32" i="18"/>
  <c r="B33" i="18"/>
  <c r="B34" i="18"/>
  <c r="B35" i="18"/>
  <c r="B64" i="18"/>
  <c r="D64" i="18"/>
  <c r="B65" i="18"/>
  <c r="D31" i="18"/>
  <c r="D32" i="18"/>
  <c r="D33" i="18"/>
  <c r="D34" i="18"/>
  <c r="D35" i="18"/>
  <c r="D65" i="18"/>
  <c r="B66" i="18"/>
  <c r="D66" i="18"/>
  <c r="B67" i="18"/>
  <c r="D67" i="18"/>
  <c r="B68" i="18"/>
  <c r="D68" i="18"/>
  <c r="C71" i="18"/>
  <c r="B72" i="18"/>
  <c r="D72" i="18"/>
  <c r="B264" i="17"/>
  <c r="E8" i="18"/>
  <c r="B79" i="18"/>
  <c r="B36" i="18"/>
  <c r="D36" i="18"/>
  <c r="H31" i="18"/>
  <c r="H32" i="18"/>
  <c r="H33" i="18"/>
  <c r="H34" i="18"/>
  <c r="H35" i="18"/>
  <c r="H36" i="18"/>
  <c r="B73" i="18"/>
  <c r="D73" i="18"/>
  <c r="M265" i="17"/>
  <c r="E10" i="18"/>
  <c r="B80" i="18"/>
  <c r="AC76" i="18"/>
  <c r="AE76" i="18"/>
  <c r="Z76" i="18"/>
  <c r="AB76" i="18"/>
  <c r="W76" i="18"/>
  <c r="Y76" i="18"/>
  <c r="T76" i="18"/>
  <c r="V76" i="18"/>
  <c r="Q76" i="18"/>
  <c r="S76" i="18"/>
  <c r="N76" i="18"/>
  <c r="P76" i="18"/>
  <c r="K76" i="18"/>
  <c r="M76" i="18"/>
  <c r="H76" i="18"/>
  <c r="J76" i="18"/>
  <c r="E76" i="18"/>
  <c r="G76" i="18"/>
  <c r="B76" i="18"/>
  <c r="D76" i="18"/>
  <c r="E16" i="18"/>
  <c r="B83" i="18"/>
  <c r="C83" i="18"/>
  <c r="D83" i="18" s="1"/>
  <c r="G83" i="18" s="1"/>
  <c r="J83" i="18" s="1"/>
  <c r="M83" i="18" s="1"/>
  <c r="P83" i="18" s="1"/>
  <c r="S83" i="18" s="1"/>
  <c r="V83" i="18" s="1"/>
  <c r="Y83" i="18" s="1"/>
  <c r="AB83" i="18" s="1"/>
  <c r="AE83" i="18" s="1"/>
  <c r="AU83" i="18" s="1"/>
  <c r="AT83" i="18"/>
  <c r="AC75" i="18"/>
  <c r="AE75" i="18"/>
  <c r="Z75" i="18"/>
  <c r="AB75" i="18"/>
  <c r="W75" i="18"/>
  <c r="Y75" i="18"/>
  <c r="T75" i="18"/>
  <c r="V75" i="18"/>
  <c r="Q75" i="18"/>
  <c r="S75" i="18"/>
  <c r="N75" i="18"/>
  <c r="P75" i="18"/>
  <c r="K75" i="18"/>
  <c r="M75" i="18"/>
  <c r="H75" i="18"/>
  <c r="J75" i="18"/>
  <c r="E75" i="18"/>
  <c r="G75" i="18"/>
  <c r="B75" i="18"/>
  <c r="D75" i="18"/>
  <c r="E14" i="18"/>
  <c r="B82" i="18"/>
  <c r="C82" i="18"/>
  <c r="D82" i="18" s="1"/>
  <c r="G82" i="18" s="1"/>
  <c r="J82" i="18" s="1"/>
  <c r="M82" i="18" s="1"/>
  <c r="P82" i="18" s="1"/>
  <c r="S82" i="18" s="1"/>
  <c r="V82" i="18" s="1"/>
  <c r="Y82" i="18" s="1"/>
  <c r="AB82" i="18" s="1"/>
  <c r="AE82" i="18" s="1"/>
  <c r="AU82" i="18" s="1"/>
  <c r="AX14" i="18" s="1"/>
  <c r="AT82" i="18"/>
  <c r="AC74" i="18"/>
  <c r="AE74" i="18"/>
  <c r="Z74" i="18"/>
  <c r="AB74" i="18"/>
  <c r="W74" i="18"/>
  <c r="Y74" i="18"/>
  <c r="T74" i="18"/>
  <c r="V74" i="18"/>
  <c r="Q74" i="18"/>
  <c r="S74" i="18"/>
  <c r="N74" i="18"/>
  <c r="P74" i="18"/>
  <c r="K74" i="18"/>
  <c r="M74" i="18"/>
  <c r="H74" i="18"/>
  <c r="H64" i="18"/>
  <c r="J64" i="18"/>
  <c r="H65" i="18"/>
  <c r="J65" i="18"/>
  <c r="H66" i="18"/>
  <c r="J66" i="18"/>
  <c r="H67" i="18"/>
  <c r="J67" i="18"/>
  <c r="H68" i="18"/>
  <c r="J68" i="18"/>
  <c r="I71" i="18"/>
  <c r="J74" i="18"/>
  <c r="AT81" i="18"/>
  <c r="AC73" i="18"/>
  <c r="AE73" i="18"/>
  <c r="Z73" i="18"/>
  <c r="AB73" i="18"/>
  <c r="W73" i="18"/>
  <c r="Y73" i="18"/>
  <c r="T73" i="18"/>
  <c r="V73" i="18"/>
  <c r="Q73" i="18"/>
  <c r="S73" i="18"/>
  <c r="N73" i="18"/>
  <c r="P73" i="18"/>
  <c r="K73" i="18"/>
  <c r="M73" i="18"/>
  <c r="H73" i="18"/>
  <c r="J73" i="18"/>
  <c r="E73" i="18"/>
  <c r="G73" i="18"/>
  <c r="AT80" i="18"/>
  <c r="AC72" i="18"/>
  <c r="AE72" i="18"/>
  <c r="Z72" i="18"/>
  <c r="AB72" i="18"/>
  <c r="W72" i="18"/>
  <c r="Y72" i="18"/>
  <c r="T72" i="18"/>
  <c r="V72" i="18"/>
  <c r="Q72" i="18"/>
  <c r="S72" i="18"/>
  <c r="N72" i="18"/>
  <c r="P72" i="18"/>
  <c r="K72" i="18"/>
  <c r="M72" i="18"/>
  <c r="H72" i="18"/>
  <c r="J72" i="18"/>
  <c r="AT79" i="18"/>
  <c r="AF76" i="18"/>
  <c r="AF75" i="18"/>
  <c r="AF74" i="18"/>
  <c r="AF73" i="18"/>
  <c r="AF72" i="18"/>
  <c r="AC64" i="18"/>
  <c r="AE64" i="18"/>
  <c r="AC65" i="18"/>
  <c r="AE65" i="18"/>
  <c r="AC66" i="18"/>
  <c r="AE66" i="18"/>
  <c r="AC67" i="18"/>
  <c r="AE67" i="18"/>
  <c r="AC68" i="18"/>
  <c r="AE68" i="18"/>
  <c r="AD71" i="18"/>
  <c r="Z64" i="18"/>
  <c r="AB64" i="18"/>
  <c r="Z65" i="18"/>
  <c r="AB65" i="18"/>
  <c r="Z66" i="18"/>
  <c r="AB66" i="18"/>
  <c r="Z67" i="18"/>
  <c r="AB67" i="18"/>
  <c r="Z68" i="18"/>
  <c r="AB68" i="18"/>
  <c r="AA71" i="18"/>
  <c r="W64" i="18"/>
  <c r="Y64" i="18"/>
  <c r="W65" i="18"/>
  <c r="Y65" i="18"/>
  <c r="W66" i="18"/>
  <c r="Y66" i="18"/>
  <c r="W67" i="18"/>
  <c r="Y67" i="18"/>
  <c r="W68" i="18"/>
  <c r="Y68" i="18"/>
  <c r="X71" i="18"/>
  <c r="T64" i="18"/>
  <c r="V64" i="18"/>
  <c r="T65" i="18"/>
  <c r="V65" i="18"/>
  <c r="T66" i="18"/>
  <c r="V66" i="18"/>
  <c r="T67" i="18"/>
  <c r="V67" i="18"/>
  <c r="T68" i="18"/>
  <c r="V68" i="18"/>
  <c r="U71" i="18"/>
  <c r="Q64" i="18"/>
  <c r="S64" i="18"/>
  <c r="Q65" i="18"/>
  <c r="S65" i="18"/>
  <c r="Q66" i="18"/>
  <c r="S66" i="18"/>
  <c r="Q67" i="18"/>
  <c r="S67" i="18"/>
  <c r="Q68" i="18"/>
  <c r="S68" i="18"/>
  <c r="R71" i="18"/>
  <c r="N64" i="18"/>
  <c r="P64" i="18"/>
  <c r="N65" i="18"/>
  <c r="P65" i="18"/>
  <c r="N66" i="18"/>
  <c r="P66" i="18"/>
  <c r="N67" i="18"/>
  <c r="P67" i="18"/>
  <c r="N68" i="18"/>
  <c r="P68" i="18"/>
  <c r="O71" i="18"/>
  <c r="K64" i="18"/>
  <c r="M64" i="18"/>
  <c r="K65" i="18"/>
  <c r="M65" i="18"/>
  <c r="K66" i="18"/>
  <c r="M66" i="18"/>
  <c r="K67" i="18"/>
  <c r="M67" i="18"/>
  <c r="K68" i="18"/>
  <c r="M68" i="18"/>
  <c r="L71" i="18"/>
  <c r="AF68" i="18"/>
  <c r="AG68" i="18"/>
  <c r="AF67" i="18"/>
  <c r="AG67" i="18"/>
  <c r="AF66" i="18"/>
  <c r="AG66" i="18"/>
  <c r="AF65" i="18"/>
  <c r="AG65" i="18"/>
  <c r="AF64" i="18"/>
  <c r="AG64" i="18"/>
  <c r="B62" i="18"/>
  <c r="D62" i="18"/>
  <c r="E62" i="18"/>
  <c r="G62" i="18"/>
  <c r="H62" i="18"/>
  <c r="J62" i="18"/>
  <c r="K62" i="18"/>
  <c r="M62" i="18"/>
  <c r="N62" i="18"/>
  <c r="P62" i="18"/>
  <c r="Q62" i="18"/>
  <c r="S62" i="18"/>
  <c r="T62" i="18"/>
  <c r="V62" i="18"/>
  <c r="W62" i="18"/>
  <c r="Y62" i="18"/>
  <c r="Z62" i="18"/>
  <c r="AB62" i="18"/>
  <c r="AC62" i="18"/>
  <c r="AE62" i="18"/>
  <c r="AF62" i="18"/>
  <c r="B61" i="18"/>
  <c r="D61" i="18"/>
  <c r="E61" i="18"/>
  <c r="G61" i="18"/>
  <c r="H61" i="18"/>
  <c r="J61" i="18"/>
  <c r="K61" i="18"/>
  <c r="M61" i="18"/>
  <c r="N61" i="18"/>
  <c r="P61" i="18"/>
  <c r="Q61" i="18"/>
  <c r="S61" i="18"/>
  <c r="T61" i="18"/>
  <c r="V61" i="18"/>
  <c r="W61" i="18"/>
  <c r="Y61" i="18"/>
  <c r="Z61" i="18"/>
  <c r="AB61" i="18"/>
  <c r="AC61" i="18"/>
  <c r="AE61" i="18"/>
  <c r="AF61" i="18"/>
  <c r="B60" i="18"/>
  <c r="D60" i="18"/>
  <c r="E60" i="18"/>
  <c r="E39" i="18"/>
  <c r="G39" i="18"/>
  <c r="E40" i="18"/>
  <c r="G40" i="18"/>
  <c r="E41" i="18"/>
  <c r="G41" i="18"/>
  <c r="E42" i="18"/>
  <c r="G42" i="18"/>
  <c r="E43" i="18"/>
  <c r="G43" i="18"/>
  <c r="E44" i="18"/>
  <c r="G60" i="18"/>
  <c r="H60" i="18"/>
  <c r="H39" i="18"/>
  <c r="J39" i="18"/>
  <c r="H40" i="18"/>
  <c r="J40" i="18"/>
  <c r="H41" i="18"/>
  <c r="J41" i="18"/>
  <c r="H42" i="18"/>
  <c r="J42" i="18"/>
  <c r="H43" i="18"/>
  <c r="J43" i="18"/>
  <c r="H44" i="18"/>
  <c r="J60" i="18"/>
  <c r="K60" i="18"/>
  <c r="M60" i="18"/>
  <c r="N60" i="18"/>
  <c r="P60" i="18"/>
  <c r="Q60" i="18"/>
  <c r="S60" i="18"/>
  <c r="T60" i="18"/>
  <c r="V60" i="18"/>
  <c r="W60" i="18"/>
  <c r="Y60" i="18"/>
  <c r="Z60" i="18"/>
  <c r="AB60" i="18"/>
  <c r="AC60" i="18"/>
  <c r="AE60" i="18"/>
  <c r="AF60" i="18"/>
  <c r="B59" i="18"/>
  <c r="B39" i="18"/>
  <c r="D39" i="18"/>
  <c r="B40" i="18"/>
  <c r="D40" i="18"/>
  <c r="B41" i="18"/>
  <c r="D41" i="18"/>
  <c r="B42" i="18"/>
  <c r="D42" i="18"/>
  <c r="B43" i="18"/>
  <c r="D43" i="18"/>
  <c r="B44" i="18"/>
  <c r="D59" i="18"/>
  <c r="E59" i="18"/>
  <c r="G59" i="18"/>
  <c r="H59" i="18"/>
  <c r="J59" i="18"/>
  <c r="K59" i="18"/>
  <c r="M59" i="18"/>
  <c r="N59" i="18"/>
  <c r="P59" i="18"/>
  <c r="Q59" i="18"/>
  <c r="S59" i="18"/>
  <c r="T59" i="18"/>
  <c r="V59" i="18"/>
  <c r="W59" i="18"/>
  <c r="Y59" i="18"/>
  <c r="Z59" i="18"/>
  <c r="AB59" i="18"/>
  <c r="AC59" i="18"/>
  <c r="AE59" i="18"/>
  <c r="AF59" i="18"/>
  <c r="B58" i="18"/>
  <c r="D58" i="18"/>
  <c r="E58" i="18"/>
  <c r="G58" i="18"/>
  <c r="H58" i="18"/>
  <c r="J58" i="18"/>
  <c r="K58" i="18"/>
  <c r="M58" i="18"/>
  <c r="N58" i="18"/>
  <c r="P58" i="18"/>
  <c r="Q58" i="18"/>
  <c r="S58" i="18"/>
  <c r="T58" i="18"/>
  <c r="V58" i="18"/>
  <c r="W58" i="18"/>
  <c r="Y58" i="18"/>
  <c r="Z58" i="18"/>
  <c r="AB58" i="18"/>
  <c r="AC58" i="18"/>
  <c r="AE58" i="18"/>
  <c r="AF58" i="18"/>
  <c r="B56" i="18"/>
  <c r="D56" i="18"/>
  <c r="E56" i="18"/>
  <c r="G56" i="18"/>
  <c r="H56" i="18"/>
  <c r="J56" i="18"/>
  <c r="K56" i="18"/>
  <c r="M56" i="18"/>
  <c r="N56" i="18"/>
  <c r="P56" i="18"/>
  <c r="Q56" i="18"/>
  <c r="S56" i="18"/>
  <c r="T56" i="18"/>
  <c r="V56" i="18"/>
  <c r="W56" i="18"/>
  <c r="Y56" i="18"/>
  <c r="Z56" i="18"/>
  <c r="AB56" i="18"/>
  <c r="AC56" i="18"/>
  <c r="AE56" i="18"/>
  <c r="AF56" i="18"/>
  <c r="B55" i="18"/>
  <c r="D55" i="18"/>
  <c r="E55" i="18"/>
  <c r="G55" i="18"/>
  <c r="H55" i="18"/>
  <c r="J55" i="18"/>
  <c r="K55" i="18"/>
  <c r="M55" i="18"/>
  <c r="N55" i="18"/>
  <c r="P55" i="18"/>
  <c r="Q55" i="18"/>
  <c r="S55" i="18"/>
  <c r="T55" i="18"/>
  <c r="V55" i="18"/>
  <c r="W55" i="18"/>
  <c r="Y55" i="18"/>
  <c r="Z55" i="18"/>
  <c r="AB55" i="18"/>
  <c r="AC55" i="18"/>
  <c r="AE55" i="18"/>
  <c r="AF55" i="18"/>
  <c r="B54" i="18"/>
  <c r="D54" i="18"/>
  <c r="E54" i="18"/>
  <c r="E37" i="18"/>
  <c r="G37" i="18"/>
  <c r="F37" i="18"/>
  <c r="G54" i="18"/>
  <c r="H54" i="18"/>
  <c r="H37" i="18"/>
  <c r="J37" i="18"/>
  <c r="I37" i="18"/>
  <c r="J54" i="18"/>
  <c r="K54" i="18"/>
  <c r="M54" i="18"/>
  <c r="N54" i="18"/>
  <c r="P54" i="18"/>
  <c r="Q54" i="18"/>
  <c r="S54" i="18"/>
  <c r="T54" i="18"/>
  <c r="V54" i="18"/>
  <c r="W54" i="18"/>
  <c r="Y54" i="18"/>
  <c r="Z54" i="18"/>
  <c r="AB54" i="18"/>
  <c r="AC54" i="18"/>
  <c r="AE54" i="18"/>
  <c r="AF54" i="18"/>
  <c r="B53" i="18"/>
  <c r="B37" i="18"/>
  <c r="D37" i="18"/>
  <c r="C37" i="18"/>
  <c r="D53" i="18"/>
  <c r="E53" i="18"/>
  <c r="G53" i="18"/>
  <c r="H53" i="18"/>
  <c r="J53" i="18"/>
  <c r="K53" i="18"/>
  <c r="M53" i="18"/>
  <c r="N53" i="18"/>
  <c r="P53" i="18"/>
  <c r="Q53" i="18"/>
  <c r="S53" i="18"/>
  <c r="T53" i="18"/>
  <c r="V53" i="18"/>
  <c r="W53" i="18"/>
  <c r="Y53" i="18"/>
  <c r="Z53" i="18"/>
  <c r="AB53" i="18"/>
  <c r="AC53" i="18"/>
  <c r="AE53" i="18"/>
  <c r="AF53" i="18"/>
  <c r="B52" i="18"/>
  <c r="D52" i="18"/>
  <c r="E52" i="18"/>
  <c r="G52" i="18"/>
  <c r="H52" i="18"/>
  <c r="J52" i="18"/>
  <c r="K52" i="18"/>
  <c r="M52" i="18"/>
  <c r="N52" i="18"/>
  <c r="P52" i="18"/>
  <c r="Q52" i="18"/>
  <c r="S52" i="18"/>
  <c r="T52" i="18"/>
  <c r="V52" i="18"/>
  <c r="W52" i="18"/>
  <c r="Y52" i="18"/>
  <c r="Z52" i="18"/>
  <c r="AB52" i="18"/>
  <c r="AC52" i="18"/>
  <c r="AE52" i="18"/>
  <c r="AF52" i="18"/>
  <c r="B50" i="18"/>
  <c r="D50" i="18"/>
  <c r="E50" i="18"/>
  <c r="G50" i="18"/>
  <c r="H50" i="18"/>
  <c r="J50" i="18"/>
  <c r="K50" i="18"/>
  <c r="M50" i="18"/>
  <c r="N50" i="18"/>
  <c r="P50" i="18"/>
  <c r="Q50" i="18"/>
  <c r="S50" i="18"/>
  <c r="T50" i="18"/>
  <c r="V50" i="18"/>
  <c r="W50" i="18"/>
  <c r="Y50" i="18"/>
  <c r="Z50" i="18"/>
  <c r="AB50" i="18"/>
  <c r="AC50" i="18"/>
  <c r="AE50" i="18"/>
  <c r="AF50" i="18"/>
  <c r="AG50" i="18"/>
  <c r="B49" i="18"/>
  <c r="D49" i="18"/>
  <c r="E49" i="18"/>
  <c r="G49" i="18"/>
  <c r="H49" i="18"/>
  <c r="J49" i="18"/>
  <c r="K49" i="18"/>
  <c r="M49" i="18"/>
  <c r="N49" i="18"/>
  <c r="P49" i="18"/>
  <c r="Q49" i="18"/>
  <c r="S49" i="18"/>
  <c r="T49" i="18"/>
  <c r="V49" i="18"/>
  <c r="W49" i="18"/>
  <c r="Y49" i="18"/>
  <c r="Z49" i="18"/>
  <c r="AB49" i="18"/>
  <c r="AC49" i="18"/>
  <c r="AE49" i="18"/>
  <c r="AF49" i="18"/>
  <c r="AG49" i="18"/>
  <c r="B48" i="18"/>
  <c r="D48" i="18"/>
  <c r="E48" i="18"/>
  <c r="G48" i="18"/>
  <c r="H48" i="18"/>
  <c r="J48" i="18"/>
  <c r="K48" i="18"/>
  <c r="M48" i="18"/>
  <c r="N48" i="18"/>
  <c r="P48" i="18"/>
  <c r="Q48" i="18"/>
  <c r="S48" i="18"/>
  <c r="T48" i="18"/>
  <c r="V48" i="18"/>
  <c r="W48" i="18"/>
  <c r="Y48" i="18"/>
  <c r="Z48" i="18"/>
  <c r="AB48" i="18"/>
  <c r="AC48" i="18"/>
  <c r="AE48" i="18"/>
  <c r="AF48" i="18"/>
  <c r="AG48" i="18"/>
  <c r="B47" i="18"/>
  <c r="D47" i="18"/>
  <c r="E47" i="18"/>
  <c r="G47" i="18"/>
  <c r="H47" i="18"/>
  <c r="J47" i="18"/>
  <c r="K47" i="18"/>
  <c r="M47" i="18"/>
  <c r="N47" i="18"/>
  <c r="P47" i="18"/>
  <c r="Q47" i="18"/>
  <c r="S47" i="18"/>
  <c r="T47" i="18"/>
  <c r="V47" i="18"/>
  <c r="W47" i="18"/>
  <c r="Y47" i="18"/>
  <c r="Z47" i="18"/>
  <c r="AB47" i="18"/>
  <c r="AC47" i="18"/>
  <c r="AE47" i="18"/>
  <c r="AF47" i="18"/>
  <c r="AG47" i="18"/>
  <c r="B46" i="18"/>
  <c r="D46" i="18"/>
  <c r="E46" i="18"/>
  <c r="G46" i="18"/>
  <c r="H46" i="18"/>
  <c r="J46" i="18"/>
  <c r="K46" i="18"/>
  <c r="M46" i="18"/>
  <c r="N46" i="18"/>
  <c r="P46" i="18"/>
  <c r="Q46" i="18"/>
  <c r="S46" i="18"/>
  <c r="T46" i="18"/>
  <c r="V46" i="18"/>
  <c r="W46" i="18"/>
  <c r="Y46" i="18"/>
  <c r="Z46" i="18"/>
  <c r="AB46" i="18"/>
  <c r="AC46" i="18"/>
  <c r="AE46" i="18"/>
  <c r="AF46" i="18"/>
  <c r="AG46" i="18"/>
  <c r="AC39" i="18"/>
  <c r="AE39" i="18"/>
  <c r="AC40" i="18"/>
  <c r="AE40" i="18"/>
  <c r="AC41" i="18"/>
  <c r="AE41" i="18"/>
  <c r="AC42" i="18"/>
  <c r="AE42" i="18"/>
  <c r="AC43" i="18"/>
  <c r="AE43" i="18"/>
  <c r="AC44" i="18"/>
  <c r="Z39" i="18"/>
  <c r="AB39" i="18"/>
  <c r="Z40" i="18"/>
  <c r="AB40" i="18"/>
  <c r="Z41" i="18"/>
  <c r="AB41" i="18"/>
  <c r="Z42" i="18"/>
  <c r="AB42" i="18"/>
  <c r="Z43" i="18"/>
  <c r="AB43" i="18"/>
  <c r="Z44" i="18"/>
  <c r="W39" i="18"/>
  <c r="Y39" i="18"/>
  <c r="W40" i="18"/>
  <c r="Y40" i="18"/>
  <c r="W41" i="18"/>
  <c r="Y41" i="18"/>
  <c r="W42" i="18"/>
  <c r="Y42" i="18"/>
  <c r="W43" i="18"/>
  <c r="Y43" i="18"/>
  <c r="W44" i="18"/>
  <c r="T39" i="18"/>
  <c r="V39" i="18"/>
  <c r="T40" i="18"/>
  <c r="V40" i="18"/>
  <c r="T41" i="18"/>
  <c r="V41" i="18"/>
  <c r="T42" i="18"/>
  <c r="V42" i="18"/>
  <c r="T43" i="18"/>
  <c r="V43" i="18"/>
  <c r="T44" i="18"/>
  <c r="Q39" i="18"/>
  <c r="S39" i="18"/>
  <c r="Q40" i="18"/>
  <c r="S40" i="18"/>
  <c r="Q41" i="18"/>
  <c r="S41" i="18"/>
  <c r="Q42" i="18"/>
  <c r="S42" i="18"/>
  <c r="Q43" i="18"/>
  <c r="S43" i="18"/>
  <c r="Q44" i="18"/>
  <c r="N39" i="18"/>
  <c r="P39" i="18"/>
  <c r="N40" i="18"/>
  <c r="P40" i="18"/>
  <c r="N41" i="18"/>
  <c r="P41" i="18"/>
  <c r="N42" i="18"/>
  <c r="P42" i="18"/>
  <c r="N43" i="18"/>
  <c r="P43" i="18"/>
  <c r="N44" i="18"/>
  <c r="K39" i="18"/>
  <c r="M39" i="18"/>
  <c r="K40" i="18"/>
  <c r="M40" i="18"/>
  <c r="K41" i="18"/>
  <c r="M41" i="18"/>
  <c r="K42" i="18"/>
  <c r="M42" i="18"/>
  <c r="K43" i="18"/>
  <c r="M43" i="18"/>
  <c r="K44" i="18"/>
  <c r="AE37" i="18"/>
  <c r="AC37" i="18"/>
  <c r="AD37" i="18"/>
  <c r="AB37" i="18"/>
  <c r="Z37" i="18"/>
  <c r="AA37" i="18"/>
  <c r="Y37" i="18"/>
  <c r="W37" i="18"/>
  <c r="X37" i="18"/>
  <c r="V37" i="18"/>
  <c r="T37" i="18"/>
  <c r="U37" i="18"/>
  <c r="S37" i="18"/>
  <c r="Q37" i="18"/>
  <c r="R37" i="18"/>
  <c r="P37" i="18"/>
  <c r="N37" i="18"/>
  <c r="O37" i="18"/>
  <c r="M37" i="18"/>
  <c r="K37" i="18"/>
  <c r="L37" i="18"/>
  <c r="AE30" i="18"/>
  <c r="AC30" i="18"/>
  <c r="AB30" i="18"/>
  <c r="Z30" i="18"/>
  <c r="Y30" i="18"/>
  <c r="W30" i="18"/>
  <c r="V30" i="18"/>
  <c r="T30" i="18"/>
  <c r="S30" i="18"/>
  <c r="Q30" i="18"/>
  <c r="P30" i="18"/>
  <c r="N30" i="18"/>
  <c r="M30" i="18"/>
  <c r="K30" i="18"/>
  <c r="J30" i="18"/>
  <c r="H30" i="18"/>
  <c r="G30" i="18"/>
  <c r="E30" i="18"/>
  <c r="D30" i="18"/>
  <c r="B30" i="18"/>
  <c r="AD29" i="18"/>
  <c r="AA29" i="18"/>
  <c r="X29" i="18"/>
  <c r="U29" i="18"/>
  <c r="R29" i="18"/>
  <c r="O29" i="18"/>
  <c r="L29" i="18"/>
  <c r="I29" i="18"/>
  <c r="F29" i="18"/>
  <c r="A29" i="18"/>
  <c r="AG28" i="18"/>
  <c r="AH28" i="18"/>
  <c r="AI28" i="18"/>
  <c r="AJ28" i="18"/>
  <c r="AK28" i="18"/>
  <c r="AL28" i="18"/>
  <c r="AM28" i="18"/>
  <c r="AN28" i="18"/>
  <c r="AO28" i="18"/>
  <c r="AP28" i="18"/>
  <c r="AQ28" i="18"/>
  <c r="AF28" i="18"/>
  <c r="AD28" i="18"/>
  <c r="AA28" i="18"/>
  <c r="X28" i="18"/>
  <c r="U28" i="18"/>
  <c r="R28" i="18"/>
  <c r="O28" i="18"/>
  <c r="L28" i="18"/>
  <c r="I28" i="18"/>
  <c r="F28" i="18"/>
  <c r="A28" i="18"/>
  <c r="AG27" i="18"/>
  <c r="AH27" i="18"/>
  <c r="AI27" i="18"/>
  <c r="AJ27" i="18"/>
  <c r="AK27" i="18"/>
  <c r="AL27" i="18"/>
  <c r="AM27" i="18"/>
  <c r="AN27" i="18"/>
  <c r="AO27" i="18"/>
  <c r="AP27" i="18"/>
  <c r="AQ27" i="18"/>
  <c r="AF27" i="18"/>
  <c r="AD27" i="18"/>
  <c r="AA27" i="18"/>
  <c r="X27" i="18"/>
  <c r="U27" i="18"/>
  <c r="R27" i="18"/>
  <c r="O27" i="18"/>
  <c r="L27" i="18"/>
  <c r="I27" i="18"/>
  <c r="F27" i="18"/>
  <c r="A27" i="18"/>
  <c r="AG26" i="18"/>
  <c r="AH26" i="18"/>
  <c r="AI26" i="18"/>
  <c r="AJ26" i="18"/>
  <c r="AK26" i="18"/>
  <c r="AL26" i="18"/>
  <c r="AM26" i="18"/>
  <c r="AN26" i="18"/>
  <c r="AO26" i="18"/>
  <c r="AP26" i="18"/>
  <c r="AQ26" i="18"/>
  <c r="AF26" i="18"/>
  <c r="AD26" i="18"/>
  <c r="AA26" i="18"/>
  <c r="X26" i="18"/>
  <c r="U26" i="18"/>
  <c r="R26" i="18"/>
  <c r="O26" i="18"/>
  <c r="L26" i="18"/>
  <c r="I26" i="18"/>
  <c r="F26" i="18"/>
  <c r="A26" i="18"/>
  <c r="AG25" i="18"/>
  <c r="AH25" i="18"/>
  <c r="AI25" i="18"/>
  <c r="AJ25" i="18"/>
  <c r="AK25" i="18"/>
  <c r="AL25" i="18"/>
  <c r="AM25" i="18"/>
  <c r="AN25" i="18"/>
  <c r="AO25" i="18"/>
  <c r="AP25" i="18"/>
  <c r="AQ25" i="18"/>
  <c r="AF25" i="18"/>
  <c r="AD25" i="18"/>
  <c r="AA25" i="18"/>
  <c r="X25" i="18"/>
  <c r="U25" i="18"/>
  <c r="R25" i="18"/>
  <c r="O25" i="18"/>
  <c r="L25" i="18"/>
  <c r="I25" i="18"/>
  <c r="F25" i="18"/>
  <c r="AG24" i="18"/>
  <c r="AH24" i="18"/>
  <c r="AI24" i="18"/>
  <c r="AJ24" i="18"/>
  <c r="AK24" i="18"/>
  <c r="AL24" i="18"/>
  <c r="AM24" i="18"/>
  <c r="AN24" i="18"/>
  <c r="AO24" i="18"/>
  <c r="AP24" i="18"/>
  <c r="AQ24" i="18"/>
  <c r="AF24" i="18"/>
  <c r="AD24" i="18"/>
  <c r="AA24" i="18"/>
  <c r="X24" i="18"/>
  <c r="U24" i="18"/>
  <c r="R24" i="18"/>
  <c r="O24" i="18"/>
  <c r="L24" i="18"/>
  <c r="I24" i="18"/>
  <c r="F24" i="18"/>
  <c r="AC22" i="18"/>
  <c r="Z22" i="18"/>
  <c r="W22" i="18"/>
  <c r="T22" i="18"/>
  <c r="Q22" i="18"/>
  <c r="N22" i="18"/>
  <c r="K22" i="18"/>
  <c r="H22" i="18"/>
  <c r="E22" i="18"/>
  <c r="E17" i="18"/>
  <c r="AC16" i="18"/>
  <c r="Z16" i="18"/>
  <c r="W16" i="18"/>
  <c r="R16" i="18"/>
  <c r="L16" i="18"/>
  <c r="A16" i="18"/>
  <c r="E15" i="18"/>
  <c r="AY14" i="18"/>
  <c r="AC14" i="18"/>
  <c r="Z14" i="18"/>
  <c r="W14" i="18"/>
  <c r="R14" i="18"/>
  <c r="L14" i="18"/>
  <c r="A14" i="18"/>
  <c r="AC266" i="17"/>
  <c r="E13" i="18"/>
  <c r="AC12" i="18"/>
  <c r="Z12" i="18"/>
  <c r="W12" i="18"/>
  <c r="R12" i="18"/>
  <c r="L12" i="18"/>
  <c r="A12" i="18"/>
  <c r="R265" i="17"/>
  <c r="E11" i="18"/>
  <c r="AC10" i="18"/>
  <c r="Z10" i="18"/>
  <c r="W10" i="18"/>
  <c r="R10" i="18"/>
  <c r="L10" i="18"/>
  <c r="A10" i="18"/>
  <c r="F264" i="17"/>
  <c r="E9" i="18"/>
  <c r="AC8" i="18"/>
  <c r="Z8" i="18"/>
  <c r="W8" i="18"/>
  <c r="R8" i="18"/>
  <c r="L8" i="18"/>
  <c r="A8" i="18"/>
  <c r="R7" i="18"/>
  <c r="L7" i="18"/>
  <c r="K6" i="18"/>
  <c r="J264" i="17"/>
  <c r="J265" i="17"/>
  <c r="J266" i="17"/>
  <c r="AN264" i="17"/>
  <c r="AN265" i="17"/>
  <c r="AN266" i="17"/>
  <c r="AP266" i="17"/>
  <c r="AK266" i="17"/>
  <c r="AH266" i="17"/>
  <c r="AF264" i="17"/>
  <c r="AF265" i="17"/>
  <c r="AF266" i="17"/>
  <c r="AG266" i="17"/>
  <c r="U264" i="17"/>
  <c r="U265" i="17"/>
  <c r="U266" i="17"/>
  <c r="W266" i="17"/>
  <c r="L266" i="17"/>
  <c r="AP265" i="17"/>
  <c r="AK265" i="17"/>
  <c r="AH265" i="17"/>
  <c r="AG265" i="17"/>
  <c r="W265" i="17"/>
  <c r="L265" i="17"/>
  <c r="AP264" i="17"/>
  <c r="AK264" i="17"/>
  <c r="AH264" i="17"/>
  <c r="AG264" i="17"/>
  <c r="W264" i="17"/>
  <c r="L264" i="17"/>
  <c r="A259" i="17"/>
  <c r="AE255" i="17"/>
  <c r="AE201" i="17"/>
  <c r="AE202" i="17"/>
  <c r="AE203" i="17"/>
  <c r="AE204" i="17"/>
  <c r="AE205" i="17"/>
  <c r="AE206" i="17"/>
  <c r="AC255" i="17"/>
  <c r="AC201" i="17"/>
  <c r="AC202" i="17"/>
  <c r="AC203" i="17"/>
  <c r="AC204" i="17"/>
  <c r="AC205" i="17"/>
  <c r="AC206" i="17"/>
  <c r="AB255" i="17"/>
  <c r="AB256" i="17" s="1"/>
  <c r="AB201" i="17"/>
  <c r="AB202" i="17"/>
  <c r="AB203" i="17"/>
  <c r="AB204" i="17"/>
  <c r="AB205" i="17"/>
  <c r="AB206" i="17"/>
  <c r="Z255" i="17"/>
  <c r="Z256" i="17" s="1"/>
  <c r="Z201" i="17"/>
  <c r="Z202" i="17"/>
  <c r="Z203" i="17"/>
  <c r="Z204" i="17"/>
  <c r="Z205" i="17"/>
  <c r="Z206" i="17"/>
  <c r="Y255" i="17"/>
  <c r="Y256" i="17" s="1"/>
  <c r="Y257" i="17" s="1"/>
  <c r="Y201" i="17"/>
  <c r="Y202" i="17"/>
  <c r="Y203" i="17"/>
  <c r="Y204" i="17"/>
  <c r="Y205" i="17"/>
  <c r="Y206" i="17"/>
  <c r="W255" i="17"/>
  <c r="W256" i="17" s="1"/>
  <c r="W201" i="17"/>
  <c r="W202" i="17"/>
  <c r="W203" i="17"/>
  <c r="W204" i="17"/>
  <c r="W205" i="17"/>
  <c r="W206" i="17"/>
  <c r="V255" i="17"/>
  <c r="V256" i="17" s="1"/>
  <c r="V201" i="17"/>
  <c r="V202" i="17"/>
  <c r="V203" i="17"/>
  <c r="V204" i="17"/>
  <c r="V205" i="17"/>
  <c r="V206" i="17"/>
  <c r="T255" i="17"/>
  <c r="T201" i="17"/>
  <c r="T202" i="17"/>
  <c r="T203" i="17"/>
  <c r="T204" i="17"/>
  <c r="T205" i="17"/>
  <c r="T206" i="17"/>
  <c r="T256" i="17"/>
  <c r="S255" i="17"/>
  <c r="S201" i="17"/>
  <c r="S202" i="17"/>
  <c r="S203" i="17"/>
  <c r="S204" i="17"/>
  <c r="S205" i="17"/>
  <c r="S206" i="17"/>
  <c r="Q255" i="17"/>
  <c r="Q201" i="17"/>
  <c r="Q202" i="17"/>
  <c r="Q203" i="17"/>
  <c r="Q204" i="17"/>
  <c r="Q205" i="17"/>
  <c r="Q206" i="17"/>
  <c r="P255" i="17"/>
  <c r="P201" i="17"/>
  <c r="P202" i="17"/>
  <c r="P203" i="17"/>
  <c r="P204" i="17"/>
  <c r="P205" i="17"/>
  <c r="P206" i="17"/>
  <c r="N255" i="17"/>
  <c r="N256" i="17" s="1"/>
  <c r="N257" i="17" s="1"/>
  <c r="N201" i="17"/>
  <c r="N202" i="17"/>
  <c r="N203" i="17"/>
  <c r="N204" i="17"/>
  <c r="N205" i="17"/>
  <c r="N206" i="17"/>
  <c r="M255" i="17"/>
  <c r="M201" i="17"/>
  <c r="M202" i="17"/>
  <c r="M203" i="17"/>
  <c r="M204" i="17"/>
  <c r="M205" i="17"/>
  <c r="M206" i="17"/>
  <c r="K255" i="17"/>
  <c r="K256" i="17" s="1"/>
  <c r="K201" i="17"/>
  <c r="K202" i="17"/>
  <c r="K203" i="17"/>
  <c r="K204" i="17"/>
  <c r="K205" i="17"/>
  <c r="K206" i="17"/>
  <c r="E244" i="17"/>
  <c r="E234" i="17"/>
  <c r="G234" i="17"/>
  <c r="E201" i="17"/>
  <c r="E202" i="17"/>
  <c r="E203" i="17"/>
  <c r="E204" i="17"/>
  <c r="E205" i="17"/>
  <c r="E235" i="17"/>
  <c r="G235" i="17"/>
  <c r="E236" i="17"/>
  <c r="G201" i="17"/>
  <c r="G202" i="17"/>
  <c r="G203" i="17"/>
  <c r="G204" i="17"/>
  <c r="G205" i="17"/>
  <c r="G236" i="17"/>
  <c r="E237" i="17"/>
  <c r="G237" i="17"/>
  <c r="E238" i="17"/>
  <c r="G238" i="17"/>
  <c r="F241" i="17"/>
  <c r="G244" i="17"/>
  <c r="B244" i="17"/>
  <c r="D244" i="17"/>
  <c r="E182" i="17"/>
  <c r="B251" i="17"/>
  <c r="C251" i="17"/>
  <c r="D251" i="17" s="1"/>
  <c r="G255" i="17" s="1"/>
  <c r="G206" i="17"/>
  <c r="C250" i="17"/>
  <c r="D255" i="17" s="1"/>
  <c r="C249" i="17"/>
  <c r="B255" i="17" s="1"/>
  <c r="E206" i="17"/>
  <c r="J201" i="17"/>
  <c r="J202" i="17"/>
  <c r="J203" i="17"/>
  <c r="J204" i="17"/>
  <c r="J205" i="17"/>
  <c r="J206" i="17"/>
  <c r="E242" i="17"/>
  <c r="G242" i="17"/>
  <c r="B201" i="17"/>
  <c r="B202" i="17"/>
  <c r="B203" i="17"/>
  <c r="B204" i="17"/>
  <c r="B205" i="17"/>
  <c r="B234" i="17"/>
  <c r="D234" i="17"/>
  <c r="B235" i="17"/>
  <c r="D201" i="17"/>
  <c r="D202" i="17"/>
  <c r="D203" i="17"/>
  <c r="D204" i="17"/>
  <c r="D205" i="17"/>
  <c r="D235" i="17"/>
  <c r="B236" i="17"/>
  <c r="D236" i="17"/>
  <c r="B237" i="17"/>
  <c r="D237" i="17"/>
  <c r="B238" i="17"/>
  <c r="D238" i="17"/>
  <c r="C241" i="17"/>
  <c r="B242" i="17"/>
  <c r="D242" i="17"/>
  <c r="E178" i="17"/>
  <c r="B249" i="17"/>
  <c r="B206" i="17"/>
  <c r="D206" i="17"/>
  <c r="H201" i="17"/>
  <c r="H202" i="17"/>
  <c r="H203" i="17"/>
  <c r="H204" i="17"/>
  <c r="H205" i="17"/>
  <c r="H206" i="17"/>
  <c r="B243" i="17"/>
  <c r="D243" i="17"/>
  <c r="E180" i="17"/>
  <c r="B250" i="17"/>
  <c r="AC246" i="17"/>
  <c r="AE246" i="17"/>
  <c r="Z246" i="17"/>
  <c r="AB246" i="17"/>
  <c r="W246" i="17"/>
  <c r="Y246" i="17"/>
  <c r="T246" i="17"/>
  <c r="V246" i="17"/>
  <c r="Q246" i="17"/>
  <c r="S246" i="17"/>
  <c r="N246" i="17"/>
  <c r="P246" i="17"/>
  <c r="K246" i="17"/>
  <c r="M246" i="17"/>
  <c r="H246" i="17"/>
  <c r="J246" i="17"/>
  <c r="E246" i="17"/>
  <c r="G246" i="17"/>
  <c r="B246" i="17"/>
  <c r="D246" i="17"/>
  <c r="E186" i="17"/>
  <c r="B253" i="17"/>
  <c r="C253" i="17"/>
  <c r="D253" i="17" s="1"/>
  <c r="G253" i="17" s="1"/>
  <c r="J253" i="17" s="1"/>
  <c r="M253" i="17" s="1"/>
  <c r="P253" i="17" s="1"/>
  <c r="S253" i="17" s="1"/>
  <c r="V253" i="17" s="1"/>
  <c r="Y253" i="17" s="1"/>
  <c r="AB253" i="17" s="1"/>
  <c r="AE253" i="17" s="1"/>
  <c r="AU253" i="17" s="1"/>
  <c r="AT253" i="17"/>
  <c r="AC245" i="17"/>
  <c r="AE245" i="17"/>
  <c r="Z245" i="17"/>
  <c r="AB245" i="17"/>
  <c r="W245" i="17"/>
  <c r="Y245" i="17"/>
  <c r="T245" i="17"/>
  <c r="V245" i="17"/>
  <c r="Q245" i="17"/>
  <c r="S245" i="17"/>
  <c r="N245" i="17"/>
  <c r="P245" i="17"/>
  <c r="K245" i="17"/>
  <c r="M245" i="17"/>
  <c r="H245" i="17"/>
  <c r="J245" i="17"/>
  <c r="E245" i="17"/>
  <c r="G245" i="17"/>
  <c r="B245" i="17"/>
  <c r="D245" i="17"/>
  <c r="E184" i="17"/>
  <c r="B252" i="17"/>
  <c r="C252" i="17"/>
  <c r="D252" i="17" s="1"/>
  <c r="G252" i="17" s="1"/>
  <c r="J252" i="17" s="1"/>
  <c r="M252" i="17" s="1"/>
  <c r="P252" i="17" s="1"/>
  <c r="S252" i="17" s="1"/>
  <c r="V252" i="17" s="1"/>
  <c r="Y252" i="17" s="1"/>
  <c r="AB252" i="17" s="1"/>
  <c r="AE252" i="17" s="1"/>
  <c r="AU252" i="17" s="1"/>
  <c r="AX12" i="17" s="1"/>
  <c r="AT252" i="17"/>
  <c r="AC244" i="17"/>
  <c r="AE244" i="17"/>
  <c r="Z244" i="17"/>
  <c r="AB244" i="17"/>
  <c r="W244" i="17"/>
  <c r="Y244" i="17"/>
  <c r="T244" i="17"/>
  <c r="V244" i="17"/>
  <c r="Q244" i="17"/>
  <c r="S244" i="17"/>
  <c r="N244" i="17"/>
  <c r="P244" i="17"/>
  <c r="K244" i="17"/>
  <c r="M244" i="17"/>
  <c r="H244" i="17"/>
  <c r="H234" i="17"/>
  <c r="J234" i="17"/>
  <c r="H235" i="17"/>
  <c r="J235" i="17"/>
  <c r="H236" i="17"/>
  <c r="J236" i="17"/>
  <c r="H237" i="17"/>
  <c r="J237" i="17"/>
  <c r="H238" i="17"/>
  <c r="J238" i="17"/>
  <c r="I241" i="17"/>
  <c r="J244" i="17"/>
  <c r="AT251" i="17"/>
  <c r="AC243" i="17"/>
  <c r="AE243" i="17"/>
  <c r="Z243" i="17"/>
  <c r="AB243" i="17"/>
  <c r="W243" i="17"/>
  <c r="Y243" i="17"/>
  <c r="T243" i="17"/>
  <c r="V243" i="17"/>
  <c r="Q243" i="17"/>
  <c r="S243" i="17"/>
  <c r="N243" i="17"/>
  <c r="P243" i="17"/>
  <c r="K243" i="17"/>
  <c r="M243" i="17"/>
  <c r="H243" i="17"/>
  <c r="J243" i="17"/>
  <c r="E243" i="17"/>
  <c r="G243" i="17"/>
  <c r="AT250" i="17"/>
  <c r="AC242" i="17"/>
  <c r="AE242" i="17"/>
  <c r="Z242" i="17"/>
  <c r="AB242" i="17"/>
  <c r="W242" i="17"/>
  <c r="Y242" i="17"/>
  <c r="T242" i="17"/>
  <c r="V242" i="17"/>
  <c r="Q242" i="17"/>
  <c r="S242" i="17"/>
  <c r="N242" i="17"/>
  <c r="P242" i="17"/>
  <c r="K242" i="17"/>
  <c r="M242" i="17"/>
  <c r="H242" i="17"/>
  <c r="J242" i="17"/>
  <c r="AT249" i="17"/>
  <c r="AF246" i="17"/>
  <c r="AF245" i="17"/>
  <c r="AF244" i="17"/>
  <c r="AF243" i="17"/>
  <c r="AF242" i="17"/>
  <c r="AC234" i="17"/>
  <c r="AE234" i="17"/>
  <c r="AC235" i="17"/>
  <c r="AE235" i="17"/>
  <c r="AC236" i="17"/>
  <c r="AE236" i="17"/>
  <c r="AC237" i="17"/>
  <c r="AE237" i="17"/>
  <c r="AC238" i="17"/>
  <c r="AE238" i="17"/>
  <c r="AD241" i="17"/>
  <c r="Z234" i="17"/>
  <c r="AB234" i="17"/>
  <c r="Z235" i="17"/>
  <c r="AB235" i="17"/>
  <c r="Z236" i="17"/>
  <c r="AB236" i="17"/>
  <c r="Z237" i="17"/>
  <c r="AB237" i="17"/>
  <c r="Z238" i="17"/>
  <c r="AB238" i="17"/>
  <c r="AA241" i="17"/>
  <c r="W234" i="17"/>
  <c r="Y234" i="17"/>
  <c r="W235" i="17"/>
  <c r="Y235" i="17"/>
  <c r="W236" i="17"/>
  <c r="Y236" i="17"/>
  <c r="W237" i="17"/>
  <c r="Y237" i="17"/>
  <c r="W238" i="17"/>
  <c r="Y238" i="17"/>
  <c r="X241" i="17"/>
  <c r="T234" i="17"/>
  <c r="V234" i="17"/>
  <c r="T235" i="17"/>
  <c r="V235" i="17"/>
  <c r="T236" i="17"/>
  <c r="V236" i="17"/>
  <c r="T237" i="17"/>
  <c r="V237" i="17"/>
  <c r="T238" i="17"/>
  <c r="V238" i="17"/>
  <c r="U241" i="17"/>
  <c r="Q234" i="17"/>
  <c r="S234" i="17"/>
  <c r="Q235" i="17"/>
  <c r="S235" i="17"/>
  <c r="Q236" i="17"/>
  <c r="S236" i="17"/>
  <c r="Q237" i="17"/>
  <c r="S237" i="17"/>
  <c r="Q238" i="17"/>
  <c r="S238" i="17"/>
  <c r="R241" i="17"/>
  <c r="N234" i="17"/>
  <c r="P234" i="17"/>
  <c r="N235" i="17"/>
  <c r="P235" i="17"/>
  <c r="N236" i="17"/>
  <c r="P236" i="17"/>
  <c r="N237" i="17"/>
  <c r="P237" i="17"/>
  <c r="N238" i="17"/>
  <c r="P238" i="17"/>
  <c r="O241" i="17"/>
  <c r="K234" i="17"/>
  <c r="M234" i="17"/>
  <c r="K235" i="17"/>
  <c r="M235" i="17"/>
  <c r="K236" i="17"/>
  <c r="M236" i="17"/>
  <c r="K237" i="17"/>
  <c r="M237" i="17"/>
  <c r="K238" i="17"/>
  <c r="M238" i="17"/>
  <c r="L241" i="17"/>
  <c r="AF238" i="17"/>
  <c r="AG238" i="17"/>
  <c r="AF237" i="17"/>
  <c r="AG237" i="17"/>
  <c r="AF236" i="17"/>
  <c r="AG236" i="17"/>
  <c r="AF235" i="17"/>
  <c r="AG235" i="17"/>
  <c r="AF234" i="17"/>
  <c r="AG234" i="17"/>
  <c r="B232" i="17"/>
  <c r="D232" i="17"/>
  <c r="E232" i="17"/>
  <c r="G232" i="17"/>
  <c r="H232" i="17"/>
  <c r="J232" i="17"/>
  <c r="K232" i="17"/>
  <c r="M232" i="17"/>
  <c r="N232" i="17"/>
  <c r="P232" i="17"/>
  <c r="Q232" i="17"/>
  <c r="S232" i="17"/>
  <c r="T232" i="17"/>
  <c r="V232" i="17"/>
  <c r="W232" i="17"/>
  <c r="Y232" i="17"/>
  <c r="Z232" i="17"/>
  <c r="AB232" i="17"/>
  <c r="AC232" i="17"/>
  <c r="AE232" i="17"/>
  <c r="AF232" i="17"/>
  <c r="B231" i="17"/>
  <c r="D231" i="17"/>
  <c r="E231" i="17"/>
  <c r="G231" i="17"/>
  <c r="H231" i="17"/>
  <c r="J231" i="17"/>
  <c r="K231" i="17"/>
  <c r="M231" i="17"/>
  <c r="N231" i="17"/>
  <c r="P231" i="17"/>
  <c r="Q231" i="17"/>
  <c r="S231" i="17"/>
  <c r="T231" i="17"/>
  <c r="V231" i="17"/>
  <c r="W231" i="17"/>
  <c r="Y231" i="17"/>
  <c r="Z231" i="17"/>
  <c r="AB231" i="17"/>
  <c r="AC231" i="17"/>
  <c r="AE231" i="17"/>
  <c r="AF231" i="17"/>
  <c r="B230" i="17"/>
  <c r="D230" i="17"/>
  <c r="E230" i="17"/>
  <c r="E209" i="17"/>
  <c r="G209" i="17"/>
  <c r="E210" i="17"/>
  <c r="G210" i="17"/>
  <c r="E211" i="17"/>
  <c r="G211" i="17"/>
  <c r="E212" i="17"/>
  <c r="G212" i="17"/>
  <c r="E213" i="17"/>
  <c r="G213" i="17"/>
  <c r="E214" i="17"/>
  <c r="G230" i="17"/>
  <c r="H230" i="17"/>
  <c r="H209" i="17"/>
  <c r="J209" i="17"/>
  <c r="H210" i="17"/>
  <c r="J210" i="17"/>
  <c r="H211" i="17"/>
  <c r="J211" i="17"/>
  <c r="H212" i="17"/>
  <c r="J212" i="17"/>
  <c r="H213" i="17"/>
  <c r="J213" i="17"/>
  <c r="H214" i="17"/>
  <c r="J230" i="17"/>
  <c r="K230" i="17"/>
  <c r="M230" i="17"/>
  <c r="N230" i="17"/>
  <c r="P230" i="17"/>
  <c r="Q230" i="17"/>
  <c r="S230" i="17"/>
  <c r="T230" i="17"/>
  <c r="V230" i="17"/>
  <c r="W230" i="17"/>
  <c r="Y230" i="17"/>
  <c r="Z230" i="17"/>
  <c r="AB230" i="17"/>
  <c r="AC230" i="17"/>
  <c r="AE230" i="17"/>
  <c r="AF230" i="17"/>
  <c r="B229" i="17"/>
  <c r="B209" i="17"/>
  <c r="D209" i="17"/>
  <c r="B210" i="17"/>
  <c r="D210" i="17"/>
  <c r="B211" i="17"/>
  <c r="D211" i="17"/>
  <c r="B212" i="17"/>
  <c r="D212" i="17"/>
  <c r="B213" i="17"/>
  <c r="D213" i="17"/>
  <c r="B214" i="17"/>
  <c r="D229" i="17"/>
  <c r="E229" i="17"/>
  <c r="G229" i="17"/>
  <c r="H229" i="17"/>
  <c r="J229" i="17"/>
  <c r="K229" i="17"/>
  <c r="M229" i="17"/>
  <c r="N229" i="17"/>
  <c r="P229" i="17"/>
  <c r="Q229" i="17"/>
  <c r="S229" i="17"/>
  <c r="T229" i="17"/>
  <c r="V229" i="17"/>
  <c r="W229" i="17"/>
  <c r="Y229" i="17"/>
  <c r="Z229" i="17"/>
  <c r="AB229" i="17"/>
  <c r="AC229" i="17"/>
  <c r="AE229" i="17"/>
  <c r="AF229" i="17"/>
  <c r="B228" i="17"/>
  <c r="D228" i="17"/>
  <c r="E228" i="17"/>
  <c r="G228" i="17"/>
  <c r="H228" i="17"/>
  <c r="J228" i="17"/>
  <c r="K228" i="17"/>
  <c r="M228" i="17"/>
  <c r="N228" i="17"/>
  <c r="P228" i="17"/>
  <c r="Q228" i="17"/>
  <c r="S228" i="17"/>
  <c r="T228" i="17"/>
  <c r="V228" i="17"/>
  <c r="W228" i="17"/>
  <c r="Y228" i="17"/>
  <c r="Z228" i="17"/>
  <c r="AB228" i="17"/>
  <c r="AC228" i="17"/>
  <c r="AE228" i="17"/>
  <c r="AF228" i="17"/>
  <c r="B226" i="17"/>
  <c r="D226" i="17"/>
  <c r="E226" i="17"/>
  <c r="G226" i="17"/>
  <c r="H226" i="17"/>
  <c r="J226" i="17"/>
  <c r="K226" i="17"/>
  <c r="M226" i="17"/>
  <c r="N226" i="17"/>
  <c r="P226" i="17"/>
  <c r="Q226" i="17"/>
  <c r="S226" i="17"/>
  <c r="T226" i="17"/>
  <c r="V226" i="17"/>
  <c r="W226" i="17"/>
  <c r="Y226" i="17"/>
  <c r="Z226" i="17"/>
  <c r="AB226" i="17"/>
  <c r="AC226" i="17"/>
  <c r="AE226" i="17"/>
  <c r="AF226" i="17"/>
  <c r="B225" i="17"/>
  <c r="D225" i="17"/>
  <c r="E225" i="17"/>
  <c r="G225" i="17"/>
  <c r="H225" i="17"/>
  <c r="J225" i="17"/>
  <c r="K225" i="17"/>
  <c r="M225" i="17"/>
  <c r="N225" i="17"/>
  <c r="P225" i="17"/>
  <c r="Q225" i="17"/>
  <c r="S225" i="17"/>
  <c r="T225" i="17"/>
  <c r="V225" i="17"/>
  <c r="W225" i="17"/>
  <c r="Y225" i="17"/>
  <c r="Z225" i="17"/>
  <c r="AB225" i="17"/>
  <c r="AC225" i="17"/>
  <c r="AE225" i="17"/>
  <c r="AF225" i="17"/>
  <c r="B224" i="17"/>
  <c r="D224" i="17"/>
  <c r="E224" i="17"/>
  <c r="E207" i="17"/>
  <c r="G207" i="17"/>
  <c r="F207" i="17"/>
  <c r="G224" i="17"/>
  <c r="H224" i="17"/>
  <c r="H207" i="17"/>
  <c r="J207" i="17"/>
  <c r="I207" i="17"/>
  <c r="J224" i="17"/>
  <c r="K224" i="17"/>
  <c r="M224" i="17"/>
  <c r="N224" i="17"/>
  <c r="P224" i="17"/>
  <c r="Q224" i="17"/>
  <c r="S224" i="17"/>
  <c r="T224" i="17"/>
  <c r="V224" i="17"/>
  <c r="W224" i="17"/>
  <c r="Y224" i="17"/>
  <c r="Z224" i="17"/>
  <c r="AB224" i="17"/>
  <c r="AC224" i="17"/>
  <c r="AE224" i="17"/>
  <c r="AF224" i="17"/>
  <c r="B223" i="17"/>
  <c r="B207" i="17"/>
  <c r="D207" i="17"/>
  <c r="C207" i="17"/>
  <c r="D223" i="17"/>
  <c r="E223" i="17"/>
  <c r="G223" i="17"/>
  <c r="H223" i="17"/>
  <c r="J223" i="17"/>
  <c r="K223" i="17"/>
  <c r="M223" i="17"/>
  <c r="N223" i="17"/>
  <c r="P223" i="17"/>
  <c r="Q223" i="17"/>
  <c r="S223" i="17"/>
  <c r="T223" i="17"/>
  <c r="V223" i="17"/>
  <c r="W223" i="17"/>
  <c r="Y223" i="17"/>
  <c r="Z223" i="17"/>
  <c r="AB223" i="17"/>
  <c r="AC223" i="17"/>
  <c r="AE223" i="17"/>
  <c r="AF223" i="17"/>
  <c r="B222" i="17"/>
  <c r="D222" i="17"/>
  <c r="E222" i="17"/>
  <c r="G222" i="17"/>
  <c r="H222" i="17"/>
  <c r="J222" i="17"/>
  <c r="K222" i="17"/>
  <c r="M222" i="17"/>
  <c r="N222" i="17"/>
  <c r="P222" i="17"/>
  <c r="Q222" i="17"/>
  <c r="S222" i="17"/>
  <c r="T222" i="17"/>
  <c r="V222" i="17"/>
  <c r="W222" i="17"/>
  <c r="Y222" i="17"/>
  <c r="Z222" i="17"/>
  <c r="AB222" i="17"/>
  <c r="AC222" i="17"/>
  <c r="AE222" i="17"/>
  <c r="AF222" i="17"/>
  <c r="B220" i="17"/>
  <c r="D220" i="17"/>
  <c r="E220" i="17"/>
  <c r="G220" i="17"/>
  <c r="H220" i="17"/>
  <c r="J220" i="17"/>
  <c r="K220" i="17"/>
  <c r="M220" i="17"/>
  <c r="N220" i="17"/>
  <c r="P220" i="17"/>
  <c r="Q220" i="17"/>
  <c r="S220" i="17"/>
  <c r="T220" i="17"/>
  <c r="V220" i="17"/>
  <c r="W220" i="17"/>
  <c r="Y220" i="17"/>
  <c r="Z220" i="17"/>
  <c r="AB220" i="17"/>
  <c r="AC220" i="17"/>
  <c r="AE220" i="17"/>
  <c r="AF220" i="17"/>
  <c r="AG220" i="17"/>
  <c r="B219" i="17"/>
  <c r="D219" i="17"/>
  <c r="E219" i="17"/>
  <c r="G219" i="17"/>
  <c r="H219" i="17"/>
  <c r="J219" i="17"/>
  <c r="K219" i="17"/>
  <c r="M219" i="17"/>
  <c r="N219" i="17"/>
  <c r="P219" i="17"/>
  <c r="Q219" i="17"/>
  <c r="S219" i="17"/>
  <c r="T219" i="17"/>
  <c r="V219" i="17"/>
  <c r="W219" i="17"/>
  <c r="Y219" i="17"/>
  <c r="Z219" i="17"/>
  <c r="AB219" i="17"/>
  <c r="AC219" i="17"/>
  <c r="AE219" i="17"/>
  <c r="AF219" i="17"/>
  <c r="AG219" i="17"/>
  <c r="B218" i="17"/>
  <c r="D218" i="17"/>
  <c r="E218" i="17"/>
  <c r="G218" i="17"/>
  <c r="H218" i="17"/>
  <c r="J218" i="17"/>
  <c r="K218" i="17"/>
  <c r="M218" i="17"/>
  <c r="N218" i="17"/>
  <c r="P218" i="17"/>
  <c r="Q218" i="17"/>
  <c r="S218" i="17"/>
  <c r="T218" i="17"/>
  <c r="V218" i="17"/>
  <c r="W218" i="17"/>
  <c r="Y218" i="17"/>
  <c r="Z218" i="17"/>
  <c r="AB218" i="17"/>
  <c r="AC218" i="17"/>
  <c r="AE218" i="17"/>
  <c r="AF218" i="17"/>
  <c r="AG218" i="17"/>
  <c r="B217" i="17"/>
  <c r="D217" i="17"/>
  <c r="E217" i="17"/>
  <c r="G217" i="17"/>
  <c r="H217" i="17"/>
  <c r="J217" i="17"/>
  <c r="K217" i="17"/>
  <c r="M217" i="17"/>
  <c r="N217" i="17"/>
  <c r="P217" i="17"/>
  <c r="Q217" i="17"/>
  <c r="S217" i="17"/>
  <c r="T217" i="17"/>
  <c r="V217" i="17"/>
  <c r="W217" i="17"/>
  <c r="Y217" i="17"/>
  <c r="Z217" i="17"/>
  <c r="AB217" i="17"/>
  <c r="AC217" i="17"/>
  <c r="AE217" i="17"/>
  <c r="AF217" i="17"/>
  <c r="AG217" i="17"/>
  <c r="B216" i="17"/>
  <c r="D216" i="17"/>
  <c r="E216" i="17"/>
  <c r="G216" i="17"/>
  <c r="H216" i="17"/>
  <c r="J216" i="17"/>
  <c r="K216" i="17"/>
  <c r="M216" i="17"/>
  <c r="N216" i="17"/>
  <c r="P216" i="17"/>
  <c r="Q216" i="17"/>
  <c r="S216" i="17"/>
  <c r="T216" i="17"/>
  <c r="V216" i="17"/>
  <c r="W216" i="17"/>
  <c r="Y216" i="17"/>
  <c r="Z216" i="17"/>
  <c r="AB216" i="17"/>
  <c r="AC216" i="17"/>
  <c r="AE216" i="17"/>
  <c r="AF216" i="17"/>
  <c r="AG216" i="17"/>
  <c r="AC209" i="17"/>
  <c r="AE209" i="17"/>
  <c r="AC210" i="17"/>
  <c r="AE210" i="17"/>
  <c r="AC211" i="17"/>
  <c r="AE211" i="17"/>
  <c r="AC212" i="17"/>
  <c r="AE212" i="17"/>
  <c r="AC213" i="17"/>
  <c r="AE213" i="17"/>
  <c r="AC214" i="17"/>
  <c r="Z209" i="17"/>
  <c r="AB209" i="17"/>
  <c r="Z210" i="17"/>
  <c r="AB210" i="17"/>
  <c r="Z211" i="17"/>
  <c r="AB211" i="17"/>
  <c r="Z212" i="17"/>
  <c r="AB212" i="17"/>
  <c r="Z213" i="17"/>
  <c r="AB213" i="17"/>
  <c r="Z214" i="17"/>
  <c r="W209" i="17"/>
  <c r="Y209" i="17"/>
  <c r="W210" i="17"/>
  <c r="Y210" i="17"/>
  <c r="W211" i="17"/>
  <c r="Y211" i="17"/>
  <c r="W212" i="17"/>
  <c r="Y212" i="17"/>
  <c r="W213" i="17"/>
  <c r="Y213" i="17"/>
  <c r="W214" i="17"/>
  <c r="T209" i="17"/>
  <c r="V209" i="17"/>
  <c r="T210" i="17"/>
  <c r="V210" i="17"/>
  <c r="T211" i="17"/>
  <c r="V211" i="17"/>
  <c r="T212" i="17"/>
  <c r="V212" i="17"/>
  <c r="T213" i="17"/>
  <c r="V213" i="17"/>
  <c r="T214" i="17"/>
  <c r="Q209" i="17"/>
  <c r="S209" i="17"/>
  <c r="Q210" i="17"/>
  <c r="S210" i="17"/>
  <c r="Q211" i="17"/>
  <c r="S211" i="17"/>
  <c r="Q212" i="17"/>
  <c r="S212" i="17"/>
  <c r="Q213" i="17"/>
  <c r="S213" i="17"/>
  <c r="Q214" i="17"/>
  <c r="N209" i="17"/>
  <c r="P209" i="17"/>
  <c r="N210" i="17"/>
  <c r="P210" i="17"/>
  <c r="N211" i="17"/>
  <c r="P211" i="17"/>
  <c r="N212" i="17"/>
  <c r="P212" i="17"/>
  <c r="N213" i="17"/>
  <c r="P213" i="17"/>
  <c r="N214" i="17"/>
  <c r="K209" i="17"/>
  <c r="M209" i="17"/>
  <c r="K210" i="17"/>
  <c r="M210" i="17"/>
  <c r="K211" i="17"/>
  <c r="M211" i="17"/>
  <c r="K212" i="17"/>
  <c r="M212" i="17"/>
  <c r="K213" i="17"/>
  <c r="M213" i="17"/>
  <c r="K214" i="17"/>
  <c r="AE207" i="17"/>
  <c r="AC207" i="17"/>
  <c r="AD207" i="17"/>
  <c r="AB207" i="17"/>
  <c r="Z207" i="17"/>
  <c r="AA207" i="17"/>
  <c r="Y207" i="17"/>
  <c r="W207" i="17"/>
  <c r="X207" i="17"/>
  <c r="V207" i="17"/>
  <c r="T207" i="17"/>
  <c r="U207" i="17"/>
  <c r="S207" i="17"/>
  <c r="Q207" i="17"/>
  <c r="R207" i="17"/>
  <c r="P207" i="17"/>
  <c r="N207" i="17"/>
  <c r="O207" i="17"/>
  <c r="M207" i="17"/>
  <c r="K207" i="17"/>
  <c r="L207" i="17"/>
  <c r="AE200" i="17"/>
  <c r="AC200" i="17"/>
  <c r="AB200" i="17"/>
  <c r="Z200" i="17"/>
  <c r="Y200" i="17"/>
  <c r="W200" i="17"/>
  <c r="V200" i="17"/>
  <c r="T200" i="17"/>
  <c r="S200" i="17"/>
  <c r="Q200" i="17"/>
  <c r="P200" i="17"/>
  <c r="N200" i="17"/>
  <c r="M200" i="17"/>
  <c r="K200" i="17"/>
  <c r="J200" i="17"/>
  <c r="H200" i="17"/>
  <c r="G200" i="17"/>
  <c r="E200" i="17"/>
  <c r="D200" i="17"/>
  <c r="B200" i="17"/>
  <c r="AD199" i="17"/>
  <c r="AA199" i="17"/>
  <c r="X199" i="17"/>
  <c r="U199" i="17"/>
  <c r="R199" i="17"/>
  <c r="O199" i="17"/>
  <c r="L199" i="17"/>
  <c r="I199" i="17"/>
  <c r="F199" i="17"/>
  <c r="A199" i="17"/>
  <c r="AG198" i="17"/>
  <c r="AH198" i="17"/>
  <c r="AI198" i="17"/>
  <c r="AJ198" i="17"/>
  <c r="AK198" i="17"/>
  <c r="AL198" i="17"/>
  <c r="AM198" i="17"/>
  <c r="AN198" i="17"/>
  <c r="AO198" i="17"/>
  <c r="AP198" i="17"/>
  <c r="AQ198" i="17"/>
  <c r="AF198" i="17"/>
  <c r="AD198" i="17"/>
  <c r="AA198" i="17"/>
  <c r="X198" i="17"/>
  <c r="U198" i="17"/>
  <c r="R198" i="17"/>
  <c r="O198" i="17"/>
  <c r="L198" i="17"/>
  <c r="I198" i="17"/>
  <c r="F198" i="17"/>
  <c r="A198" i="17"/>
  <c r="AG197" i="17"/>
  <c r="AH197" i="17"/>
  <c r="AI197" i="17"/>
  <c r="AJ197" i="17"/>
  <c r="AK197" i="17"/>
  <c r="AL197" i="17"/>
  <c r="AM197" i="17"/>
  <c r="AN197" i="17"/>
  <c r="AO197" i="17"/>
  <c r="AP197" i="17"/>
  <c r="AQ197" i="17"/>
  <c r="AF197" i="17"/>
  <c r="AD197" i="17"/>
  <c r="AA197" i="17"/>
  <c r="X197" i="17"/>
  <c r="U197" i="17"/>
  <c r="R197" i="17"/>
  <c r="O197" i="17"/>
  <c r="L197" i="17"/>
  <c r="I197" i="17"/>
  <c r="F197" i="17"/>
  <c r="A197" i="17"/>
  <c r="AG196" i="17"/>
  <c r="AH196" i="17"/>
  <c r="AI196" i="17"/>
  <c r="AJ196" i="17"/>
  <c r="AK196" i="17"/>
  <c r="AL196" i="17"/>
  <c r="AM196" i="17"/>
  <c r="AN196" i="17"/>
  <c r="AO196" i="17"/>
  <c r="AP196" i="17"/>
  <c r="AQ196" i="17"/>
  <c r="AF196" i="17"/>
  <c r="AD196" i="17"/>
  <c r="AA196" i="17"/>
  <c r="X196" i="17"/>
  <c r="U196" i="17"/>
  <c r="R196" i="17"/>
  <c r="O196" i="17"/>
  <c r="L196" i="17"/>
  <c r="I196" i="17"/>
  <c r="F196" i="17"/>
  <c r="A196" i="17"/>
  <c r="AG195" i="17"/>
  <c r="AH195" i="17"/>
  <c r="AI195" i="17"/>
  <c r="AJ195" i="17"/>
  <c r="AK195" i="17"/>
  <c r="AL195" i="17"/>
  <c r="AM195" i="17"/>
  <c r="AN195" i="17"/>
  <c r="AO195" i="17"/>
  <c r="AP195" i="17"/>
  <c r="AQ195" i="17"/>
  <c r="AF195" i="17"/>
  <c r="AD195" i="17"/>
  <c r="AA195" i="17"/>
  <c r="X195" i="17"/>
  <c r="U195" i="17"/>
  <c r="R195" i="17"/>
  <c r="O195" i="17"/>
  <c r="L195" i="17"/>
  <c r="I195" i="17"/>
  <c r="F195" i="17"/>
  <c r="AG194" i="17"/>
  <c r="AH194" i="17"/>
  <c r="AI194" i="17"/>
  <c r="AJ194" i="17"/>
  <c r="AK194" i="17"/>
  <c r="AL194" i="17"/>
  <c r="AM194" i="17"/>
  <c r="AN194" i="17"/>
  <c r="AO194" i="17"/>
  <c r="AP194" i="17"/>
  <c r="AQ194" i="17"/>
  <c r="AF194" i="17"/>
  <c r="AD194" i="17"/>
  <c r="AA194" i="17"/>
  <c r="X194" i="17"/>
  <c r="U194" i="17"/>
  <c r="R194" i="17"/>
  <c r="O194" i="17"/>
  <c r="L194" i="17"/>
  <c r="I194" i="17"/>
  <c r="F194" i="17"/>
  <c r="AC192" i="17"/>
  <c r="Z192" i="17"/>
  <c r="W192" i="17"/>
  <c r="T192" i="17"/>
  <c r="Q192" i="17"/>
  <c r="N192" i="17"/>
  <c r="K192" i="17"/>
  <c r="H192" i="17"/>
  <c r="E192" i="17"/>
  <c r="E187" i="17"/>
  <c r="AC186" i="17"/>
  <c r="Z186" i="17"/>
  <c r="W186" i="17"/>
  <c r="R186" i="17"/>
  <c r="L186" i="17"/>
  <c r="A186" i="17"/>
  <c r="E185" i="17"/>
  <c r="AC184" i="17"/>
  <c r="Z184" i="17"/>
  <c r="W184" i="17"/>
  <c r="R184" i="17"/>
  <c r="L184" i="17"/>
  <c r="A184" i="17"/>
  <c r="E183" i="17"/>
  <c r="AC182" i="17"/>
  <c r="Z182" i="17"/>
  <c r="W182" i="17"/>
  <c r="R182" i="17"/>
  <c r="L182" i="17"/>
  <c r="A182" i="17"/>
  <c r="E181" i="17"/>
  <c r="AC180" i="17"/>
  <c r="Z180" i="17"/>
  <c r="W180" i="17"/>
  <c r="R180" i="17"/>
  <c r="L180" i="17"/>
  <c r="A180" i="17"/>
  <c r="E179" i="17"/>
  <c r="AC178" i="17"/>
  <c r="Z178" i="17"/>
  <c r="W178" i="17"/>
  <c r="R178" i="17"/>
  <c r="L178" i="17"/>
  <c r="A178" i="17"/>
  <c r="R177" i="17"/>
  <c r="L177" i="17"/>
  <c r="K176" i="17"/>
  <c r="A174" i="17"/>
  <c r="AE170" i="17"/>
  <c r="AE116" i="17"/>
  <c r="AE117" i="17"/>
  <c r="AE118" i="17"/>
  <c r="AE119" i="17"/>
  <c r="AE120" i="17"/>
  <c r="AE121" i="17"/>
  <c r="AC170" i="17"/>
  <c r="AC171" i="17" s="1"/>
  <c r="AC172" i="17" s="1"/>
  <c r="AC116" i="17"/>
  <c r="AC117" i="17"/>
  <c r="AC118" i="17"/>
  <c r="AC119" i="17"/>
  <c r="AC120" i="17"/>
  <c r="AC121" i="17"/>
  <c r="AB170" i="17"/>
  <c r="AB116" i="17"/>
  <c r="AB117" i="17"/>
  <c r="AB118" i="17"/>
  <c r="AB119" i="17"/>
  <c r="AB120" i="17"/>
  <c r="AB121" i="17"/>
  <c r="Z170" i="17"/>
  <c r="Z116" i="17"/>
  <c r="Z117" i="17"/>
  <c r="Z118" i="17"/>
  <c r="Z119" i="17"/>
  <c r="Z120" i="17"/>
  <c r="Z121" i="17"/>
  <c r="Y170" i="17"/>
  <c r="Y171" i="17" s="1"/>
  <c r="Y172" i="17" s="1"/>
  <c r="Y116" i="17"/>
  <c r="Y117" i="17"/>
  <c r="Y118" i="17"/>
  <c r="Y119" i="17"/>
  <c r="Y120" i="17"/>
  <c r="Y121" i="17"/>
  <c r="W170" i="17"/>
  <c r="W116" i="17"/>
  <c r="W117" i="17"/>
  <c r="W118" i="17"/>
  <c r="W119" i="17"/>
  <c r="W120" i="17"/>
  <c r="W121" i="17"/>
  <c r="V170" i="17"/>
  <c r="V116" i="17"/>
  <c r="V117" i="17"/>
  <c r="V118" i="17"/>
  <c r="V119" i="17"/>
  <c r="V120" i="17"/>
  <c r="V121" i="17"/>
  <c r="T170" i="17"/>
  <c r="T171" i="17" s="1"/>
  <c r="T172" i="17" s="1"/>
  <c r="T116" i="17"/>
  <c r="T117" i="17"/>
  <c r="T118" i="17"/>
  <c r="T119" i="17"/>
  <c r="T120" i="17"/>
  <c r="T121" i="17"/>
  <c r="S170" i="17"/>
  <c r="S116" i="17"/>
  <c r="S117" i="17"/>
  <c r="S118" i="17"/>
  <c r="S119" i="17"/>
  <c r="S120" i="17"/>
  <c r="S121" i="17"/>
  <c r="Q170" i="17"/>
  <c r="Q171" i="17" s="1"/>
  <c r="Q172" i="17" s="1"/>
  <c r="Q116" i="17"/>
  <c r="Q117" i="17"/>
  <c r="Q118" i="17"/>
  <c r="Q119" i="17"/>
  <c r="Q120" i="17"/>
  <c r="Q121" i="17"/>
  <c r="P170" i="17"/>
  <c r="P116" i="17"/>
  <c r="P117" i="17"/>
  <c r="P118" i="17"/>
  <c r="P119" i="17"/>
  <c r="P120" i="17"/>
  <c r="P121" i="17"/>
  <c r="N170" i="17"/>
  <c r="N116" i="17"/>
  <c r="N117" i="17"/>
  <c r="N118" i="17"/>
  <c r="N119" i="17"/>
  <c r="N120" i="17"/>
  <c r="N121" i="17"/>
  <c r="M170" i="17"/>
  <c r="M116" i="17"/>
  <c r="M117" i="17"/>
  <c r="M118" i="17"/>
  <c r="M119" i="17"/>
  <c r="M120" i="17"/>
  <c r="M121" i="17"/>
  <c r="K170" i="17"/>
  <c r="K116" i="17"/>
  <c r="K117" i="17"/>
  <c r="K118" i="17"/>
  <c r="K119" i="17"/>
  <c r="K120" i="17"/>
  <c r="K121" i="17"/>
  <c r="E159" i="17"/>
  <c r="E149" i="17"/>
  <c r="G149" i="17"/>
  <c r="E116" i="17"/>
  <c r="E117" i="17"/>
  <c r="E118" i="17"/>
  <c r="E119" i="17"/>
  <c r="E120" i="17"/>
  <c r="E150" i="17"/>
  <c r="G150" i="17"/>
  <c r="E151" i="17"/>
  <c r="G116" i="17"/>
  <c r="G117" i="17"/>
  <c r="G118" i="17"/>
  <c r="G119" i="17"/>
  <c r="G120" i="17"/>
  <c r="G151" i="17"/>
  <c r="E152" i="17"/>
  <c r="G152" i="17"/>
  <c r="E153" i="17"/>
  <c r="G153" i="17"/>
  <c r="F156" i="17"/>
  <c r="G159" i="17"/>
  <c r="B159" i="17"/>
  <c r="D159" i="17"/>
  <c r="E97" i="17"/>
  <c r="B166" i="17"/>
  <c r="C166" i="17"/>
  <c r="D166" i="17" s="1"/>
  <c r="G170" i="17" s="1"/>
  <c r="G121" i="17"/>
  <c r="C165" i="17"/>
  <c r="D170" i="17" s="1"/>
  <c r="C164" i="17"/>
  <c r="B170" i="17" s="1"/>
  <c r="E121" i="17"/>
  <c r="J116" i="17"/>
  <c r="J117" i="17"/>
  <c r="J118" i="17"/>
  <c r="J119" i="17"/>
  <c r="J120" i="17"/>
  <c r="J121" i="17"/>
  <c r="E157" i="17"/>
  <c r="G157" i="17"/>
  <c r="B116" i="17"/>
  <c r="B117" i="17"/>
  <c r="B118" i="17"/>
  <c r="B119" i="17"/>
  <c r="B120" i="17"/>
  <c r="B149" i="17"/>
  <c r="D149" i="17"/>
  <c r="B150" i="17"/>
  <c r="D116" i="17"/>
  <c r="D117" i="17"/>
  <c r="D118" i="17"/>
  <c r="D119" i="17"/>
  <c r="D120" i="17"/>
  <c r="D150" i="17"/>
  <c r="B151" i="17"/>
  <c r="D151" i="17"/>
  <c r="B152" i="17"/>
  <c r="D152" i="17"/>
  <c r="B153" i="17"/>
  <c r="D153" i="17"/>
  <c r="C156" i="17"/>
  <c r="B157" i="17"/>
  <c r="D157" i="17"/>
  <c r="E93" i="17"/>
  <c r="B164" i="17"/>
  <c r="B121" i="17"/>
  <c r="D121" i="17"/>
  <c r="H116" i="17"/>
  <c r="H117" i="17"/>
  <c r="H118" i="17"/>
  <c r="H119" i="17"/>
  <c r="H120" i="17"/>
  <c r="H121" i="17"/>
  <c r="B158" i="17"/>
  <c r="D158" i="17"/>
  <c r="E95" i="17"/>
  <c r="B165" i="17"/>
  <c r="AC161" i="17"/>
  <c r="AE161" i="17"/>
  <c r="Z161" i="17"/>
  <c r="AB161" i="17"/>
  <c r="W161" i="17"/>
  <c r="Y161" i="17"/>
  <c r="T161" i="17"/>
  <c r="V161" i="17"/>
  <c r="Q161" i="17"/>
  <c r="S161" i="17"/>
  <c r="N161" i="17"/>
  <c r="P161" i="17"/>
  <c r="K161" i="17"/>
  <c r="M161" i="17"/>
  <c r="H161" i="17"/>
  <c r="J161" i="17"/>
  <c r="E161" i="17"/>
  <c r="G161" i="17"/>
  <c r="B161" i="17"/>
  <c r="D161" i="17"/>
  <c r="E101" i="17"/>
  <c r="B168" i="17"/>
  <c r="C168" i="17"/>
  <c r="D168" i="17" s="1"/>
  <c r="G168" i="17" s="1"/>
  <c r="J168" i="17" s="1"/>
  <c r="M168" i="17" s="1"/>
  <c r="P168" i="17" s="1"/>
  <c r="S168" i="17" s="1"/>
  <c r="V168" i="17" s="1"/>
  <c r="Y168" i="17" s="1"/>
  <c r="AB168" i="17" s="1"/>
  <c r="AE168" i="17" s="1"/>
  <c r="AU168" i="17" s="1"/>
  <c r="AT168" i="17"/>
  <c r="AC160" i="17"/>
  <c r="AE160" i="17"/>
  <c r="Z160" i="17"/>
  <c r="AB160" i="17"/>
  <c r="W160" i="17"/>
  <c r="Y160" i="17"/>
  <c r="T160" i="17"/>
  <c r="V160" i="17"/>
  <c r="Q160" i="17"/>
  <c r="S160" i="17"/>
  <c r="N160" i="17"/>
  <c r="P160" i="17"/>
  <c r="K160" i="17"/>
  <c r="M160" i="17"/>
  <c r="H160" i="17"/>
  <c r="J160" i="17"/>
  <c r="E160" i="17"/>
  <c r="G160" i="17"/>
  <c r="B160" i="17"/>
  <c r="D160" i="17"/>
  <c r="E99" i="17"/>
  <c r="B167" i="17"/>
  <c r="C167" i="17"/>
  <c r="D167" i="17" s="1"/>
  <c r="G167" i="17" s="1"/>
  <c r="J167" i="17" s="1"/>
  <c r="M167" i="17" s="1"/>
  <c r="P167" i="17" s="1"/>
  <c r="S167" i="17" s="1"/>
  <c r="V167" i="17" s="1"/>
  <c r="Y167" i="17" s="1"/>
  <c r="AB167" i="17" s="1"/>
  <c r="AE167" i="17" s="1"/>
  <c r="AU167" i="17" s="1"/>
  <c r="AX13" i="17" s="1"/>
  <c r="AT167" i="17"/>
  <c r="AC159" i="17"/>
  <c r="AE159" i="17"/>
  <c r="Z159" i="17"/>
  <c r="AB159" i="17"/>
  <c r="W159" i="17"/>
  <c r="Y159" i="17"/>
  <c r="T159" i="17"/>
  <c r="V159" i="17"/>
  <c r="Q159" i="17"/>
  <c r="S159" i="17"/>
  <c r="N159" i="17"/>
  <c r="P159" i="17"/>
  <c r="K159" i="17"/>
  <c r="M159" i="17"/>
  <c r="H159" i="17"/>
  <c r="H149" i="17"/>
  <c r="J149" i="17"/>
  <c r="H150" i="17"/>
  <c r="J150" i="17"/>
  <c r="H151" i="17"/>
  <c r="J151" i="17"/>
  <c r="H152" i="17"/>
  <c r="J152" i="17"/>
  <c r="H153" i="17"/>
  <c r="J153" i="17"/>
  <c r="I156" i="17"/>
  <c r="J159" i="17"/>
  <c r="AT166" i="17"/>
  <c r="AC158" i="17"/>
  <c r="AE158" i="17"/>
  <c r="Z158" i="17"/>
  <c r="AB158" i="17"/>
  <c r="W158" i="17"/>
  <c r="Y158" i="17"/>
  <c r="T158" i="17"/>
  <c r="V158" i="17"/>
  <c r="Q158" i="17"/>
  <c r="S158" i="17"/>
  <c r="N158" i="17"/>
  <c r="P158" i="17"/>
  <c r="K158" i="17"/>
  <c r="M158" i="17"/>
  <c r="H158" i="17"/>
  <c r="J158" i="17"/>
  <c r="E158" i="17"/>
  <c r="G158" i="17"/>
  <c r="AT165" i="17"/>
  <c r="AC157" i="17"/>
  <c r="AE157" i="17"/>
  <c r="Z157" i="17"/>
  <c r="AB157" i="17"/>
  <c r="W157" i="17"/>
  <c r="Y157" i="17"/>
  <c r="T157" i="17"/>
  <c r="V157" i="17"/>
  <c r="Q157" i="17"/>
  <c r="S157" i="17"/>
  <c r="N157" i="17"/>
  <c r="P157" i="17"/>
  <c r="K157" i="17"/>
  <c r="M157" i="17"/>
  <c r="H157" i="17"/>
  <c r="J157" i="17"/>
  <c r="AT164" i="17"/>
  <c r="AF161" i="17"/>
  <c r="AF160" i="17"/>
  <c r="AF159" i="17"/>
  <c r="AF158" i="17"/>
  <c r="AF157" i="17"/>
  <c r="AC149" i="17"/>
  <c r="AE149" i="17"/>
  <c r="AC150" i="17"/>
  <c r="AE150" i="17"/>
  <c r="AC151" i="17"/>
  <c r="AE151" i="17"/>
  <c r="AC152" i="17"/>
  <c r="AE152" i="17"/>
  <c r="AC153" i="17"/>
  <c r="AE153" i="17"/>
  <c r="AD156" i="17"/>
  <c r="Z149" i="17"/>
  <c r="AB149" i="17"/>
  <c r="Z150" i="17"/>
  <c r="AB150" i="17"/>
  <c r="Z151" i="17"/>
  <c r="AB151" i="17"/>
  <c r="Z152" i="17"/>
  <c r="AB152" i="17"/>
  <c r="Z153" i="17"/>
  <c r="AB153" i="17"/>
  <c r="AA156" i="17"/>
  <c r="W149" i="17"/>
  <c r="Y149" i="17"/>
  <c r="W150" i="17"/>
  <c r="Y150" i="17"/>
  <c r="W151" i="17"/>
  <c r="Y151" i="17"/>
  <c r="W152" i="17"/>
  <c r="Y152" i="17"/>
  <c r="W153" i="17"/>
  <c r="Y153" i="17"/>
  <c r="X156" i="17"/>
  <c r="T149" i="17"/>
  <c r="V149" i="17"/>
  <c r="T150" i="17"/>
  <c r="V150" i="17"/>
  <c r="T151" i="17"/>
  <c r="V151" i="17"/>
  <c r="T152" i="17"/>
  <c r="V152" i="17"/>
  <c r="T153" i="17"/>
  <c r="V153" i="17"/>
  <c r="U156" i="17"/>
  <c r="Q149" i="17"/>
  <c r="S149" i="17"/>
  <c r="Q150" i="17"/>
  <c r="S150" i="17"/>
  <c r="Q151" i="17"/>
  <c r="S151" i="17"/>
  <c r="Q152" i="17"/>
  <c r="S152" i="17"/>
  <c r="Q153" i="17"/>
  <c r="S153" i="17"/>
  <c r="R156" i="17"/>
  <c r="N149" i="17"/>
  <c r="P149" i="17"/>
  <c r="N150" i="17"/>
  <c r="P150" i="17"/>
  <c r="N151" i="17"/>
  <c r="P151" i="17"/>
  <c r="N152" i="17"/>
  <c r="P152" i="17"/>
  <c r="N153" i="17"/>
  <c r="P153" i="17"/>
  <c r="O156" i="17"/>
  <c r="K149" i="17"/>
  <c r="M149" i="17"/>
  <c r="K150" i="17"/>
  <c r="M150" i="17"/>
  <c r="K151" i="17"/>
  <c r="M151" i="17"/>
  <c r="K152" i="17"/>
  <c r="M152" i="17"/>
  <c r="K153" i="17"/>
  <c r="M153" i="17"/>
  <c r="L156" i="17"/>
  <c r="AF153" i="17"/>
  <c r="AG153" i="17"/>
  <c r="AF152" i="17"/>
  <c r="AG152" i="17"/>
  <c r="AF151" i="17"/>
  <c r="AG151" i="17"/>
  <c r="AF150" i="17"/>
  <c r="AG150" i="17"/>
  <c r="AF149" i="17"/>
  <c r="AG149" i="17"/>
  <c r="B147" i="17"/>
  <c r="D147" i="17"/>
  <c r="E147" i="17"/>
  <c r="G147" i="17"/>
  <c r="H147" i="17"/>
  <c r="J147" i="17"/>
  <c r="K147" i="17"/>
  <c r="M147" i="17"/>
  <c r="N147" i="17"/>
  <c r="P147" i="17"/>
  <c r="Q147" i="17"/>
  <c r="S147" i="17"/>
  <c r="T147" i="17"/>
  <c r="V147" i="17"/>
  <c r="W147" i="17"/>
  <c r="Y147" i="17"/>
  <c r="Z147" i="17"/>
  <c r="AB147" i="17"/>
  <c r="AC147" i="17"/>
  <c r="AE147" i="17"/>
  <c r="AF147" i="17"/>
  <c r="B146" i="17"/>
  <c r="D146" i="17"/>
  <c r="E146" i="17"/>
  <c r="G146" i="17"/>
  <c r="H146" i="17"/>
  <c r="J146" i="17"/>
  <c r="K146" i="17"/>
  <c r="M146" i="17"/>
  <c r="N146" i="17"/>
  <c r="P146" i="17"/>
  <c r="Q146" i="17"/>
  <c r="S146" i="17"/>
  <c r="T146" i="17"/>
  <c r="V146" i="17"/>
  <c r="W146" i="17"/>
  <c r="Y146" i="17"/>
  <c r="Z146" i="17"/>
  <c r="AB146" i="17"/>
  <c r="AC146" i="17"/>
  <c r="AE146" i="17"/>
  <c r="AF146" i="17"/>
  <c r="B145" i="17"/>
  <c r="D145" i="17"/>
  <c r="E145" i="17"/>
  <c r="E124" i="17"/>
  <c r="G124" i="17"/>
  <c r="E125" i="17"/>
  <c r="G125" i="17"/>
  <c r="E126" i="17"/>
  <c r="G126" i="17"/>
  <c r="E127" i="17"/>
  <c r="G127" i="17"/>
  <c r="E128" i="17"/>
  <c r="G128" i="17"/>
  <c r="E129" i="17"/>
  <c r="G145" i="17"/>
  <c r="H145" i="17"/>
  <c r="H124" i="17"/>
  <c r="J124" i="17"/>
  <c r="H125" i="17"/>
  <c r="J125" i="17"/>
  <c r="H126" i="17"/>
  <c r="J126" i="17"/>
  <c r="H127" i="17"/>
  <c r="J127" i="17"/>
  <c r="H128" i="17"/>
  <c r="J128" i="17"/>
  <c r="H129" i="17"/>
  <c r="J145" i="17"/>
  <c r="K145" i="17"/>
  <c r="M145" i="17"/>
  <c r="N145" i="17"/>
  <c r="P145" i="17"/>
  <c r="Q145" i="17"/>
  <c r="S145" i="17"/>
  <c r="T145" i="17"/>
  <c r="V145" i="17"/>
  <c r="W145" i="17"/>
  <c r="Y145" i="17"/>
  <c r="Z145" i="17"/>
  <c r="AB145" i="17"/>
  <c r="AC145" i="17"/>
  <c r="AE145" i="17"/>
  <c r="AF145" i="17"/>
  <c r="B144" i="17"/>
  <c r="B124" i="17"/>
  <c r="D124" i="17"/>
  <c r="B125" i="17"/>
  <c r="D125" i="17"/>
  <c r="B126" i="17"/>
  <c r="D126" i="17"/>
  <c r="B127" i="17"/>
  <c r="D127" i="17"/>
  <c r="B128" i="17"/>
  <c r="D128" i="17"/>
  <c r="B129" i="17"/>
  <c r="D144" i="17"/>
  <c r="E144" i="17"/>
  <c r="G144" i="17"/>
  <c r="H144" i="17"/>
  <c r="J144" i="17"/>
  <c r="K144" i="17"/>
  <c r="M144" i="17"/>
  <c r="N144" i="17"/>
  <c r="P144" i="17"/>
  <c r="Q144" i="17"/>
  <c r="S144" i="17"/>
  <c r="T144" i="17"/>
  <c r="V144" i="17"/>
  <c r="W144" i="17"/>
  <c r="Y144" i="17"/>
  <c r="Z144" i="17"/>
  <c r="AB144" i="17"/>
  <c r="AC144" i="17"/>
  <c r="AE144" i="17"/>
  <c r="AF144" i="17"/>
  <c r="B143" i="17"/>
  <c r="D143" i="17"/>
  <c r="E143" i="17"/>
  <c r="G143" i="17"/>
  <c r="H143" i="17"/>
  <c r="J143" i="17"/>
  <c r="K143" i="17"/>
  <c r="M143" i="17"/>
  <c r="N143" i="17"/>
  <c r="P143" i="17"/>
  <c r="Q143" i="17"/>
  <c r="S143" i="17"/>
  <c r="T143" i="17"/>
  <c r="V143" i="17"/>
  <c r="W143" i="17"/>
  <c r="Y143" i="17"/>
  <c r="Z143" i="17"/>
  <c r="AB143" i="17"/>
  <c r="AC143" i="17"/>
  <c r="AE143" i="17"/>
  <c r="AF143" i="17"/>
  <c r="B141" i="17"/>
  <c r="D141" i="17"/>
  <c r="E141" i="17"/>
  <c r="G141" i="17"/>
  <c r="H141" i="17"/>
  <c r="J141" i="17"/>
  <c r="K141" i="17"/>
  <c r="M141" i="17"/>
  <c r="N141" i="17"/>
  <c r="P141" i="17"/>
  <c r="Q141" i="17"/>
  <c r="S141" i="17"/>
  <c r="T141" i="17"/>
  <c r="V141" i="17"/>
  <c r="W141" i="17"/>
  <c r="Y141" i="17"/>
  <c r="Z141" i="17"/>
  <c r="AB141" i="17"/>
  <c r="AC141" i="17"/>
  <c r="AE141" i="17"/>
  <c r="AF141" i="17"/>
  <c r="B140" i="17"/>
  <c r="D140" i="17"/>
  <c r="E140" i="17"/>
  <c r="G140" i="17"/>
  <c r="H140" i="17"/>
  <c r="J140" i="17"/>
  <c r="K140" i="17"/>
  <c r="M140" i="17"/>
  <c r="N140" i="17"/>
  <c r="P140" i="17"/>
  <c r="Q140" i="17"/>
  <c r="S140" i="17"/>
  <c r="T140" i="17"/>
  <c r="V140" i="17"/>
  <c r="W140" i="17"/>
  <c r="Y140" i="17"/>
  <c r="Z140" i="17"/>
  <c r="AB140" i="17"/>
  <c r="AC140" i="17"/>
  <c r="AE140" i="17"/>
  <c r="AF140" i="17"/>
  <c r="B139" i="17"/>
  <c r="D139" i="17"/>
  <c r="E139" i="17"/>
  <c r="E122" i="17"/>
  <c r="G122" i="17"/>
  <c r="F122" i="17"/>
  <c r="G139" i="17"/>
  <c r="H139" i="17"/>
  <c r="H122" i="17"/>
  <c r="J122" i="17"/>
  <c r="I122" i="17"/>
  <c r="J139" i="17"/>
  <c r="K139" i="17"/>
  <c r="M139" i="17"/>
  <c r="N139" i="17"/>
  <c r="P139" i="17"/>
  <c r="Q139" i="17"/>
  <c r="S139" i="17"/>
  <c r="T139" i="17"/>
  <c r="V139" i="17"/>
  <c r="W139" i="17"/>
  <c r="Y139" i="17"/>
  <c r="Z139" i="17"/>
  <c r="AB139" i="17"/>
  <c r="AC139" i="17"/>
  <c r="AE139" i="17"/>
  <c r="AF139" i="17"/>
  <c r="B138" i="17"/>
  <c r="B122" i="17"/>
  <c r="D122" i="17"/>
  <c r="C122" i="17"/>
  <c r="D138" i="17"/>
  <c r="E138" i="17"/>
  <c r="G138" i="17"/>
  <c r="H138" i="17"/>
  <c r="J138" i="17"/>
  <c r="K138" i="17"/>
  <c r="M138" i="17"/>
  <c r="N138" i="17"/>
  <c r="P138" i="17"/>
  <c r="Q138" i="17"/>
  <c r="S138" i="17"/>
  <c r="T138" i="17"/>
  <c r="V138" i="17"/>
  <c r="W138" i="17"/>
  <c r="Y138" i="17"/>
  <c r="Z138" i="17"/>
  <c r="AB138" i="17"/>
  <c r="AC138" i="17"/>
  <c r="AE138" i="17"/>
  <c r="AF138" i="17"/>
  <c r="B137" i="17"/>
  <c r="D137" i="17"/>
  <c r="E137" i="17"/>
  <c r="G137" i="17"/>
  <c r="H137" i="17"/>
  <c r="J137" i="17"/>
  <c r="K137" i="17"/>
  <c r="M137" i="17"/>
  <c r="N137" i="17"/>
  <c r="P137" i="17"/>
  <c r="Q137" i="17"/>
  <c r="S137" i="17"/>
  <c r="T137" i="17"/>
  <c r="V137" i="17"/>
  <c r="W137" i="17"/>
  <c r="Y137" i="17"/>
  <c r="Z137" i="17"/>
  <c r="AB137" i="17"/>
  <c r="AC137" i="17"/>
  <c r="AE137" i="17"/>
  <c r="AF137" i="17"/>
  <c r="B135" i="17"/>
  <c r="D135" i="17"/>
  <c r="E135" i="17"/>
  <c r="G135" i="17"/>
  <c r="H135" i="17"/>
  <c r="J135" i="17"/>
  <c r="K135" i="17"/>
  <c r="M135" i="17"/>
  <c r="N135" i="17"/>
  <c r="P135" i="17"/>
  <c r="Q135" i="17"/>
  <c r="S135" i="17"/>
  <c r="T135" i="17"/>
  <c r="V135" i="17"/>
  <c r="W135" i="17"/>
  <c r="Y135" i="17"/>
  <c r="Z135" i="17"/>
  <c r="AB135" i="17"/>
  <c r="AC135" i="17"/>
  <c r="AE135" i="17"/>
  <c r="AF135" i="17"/>
  <c r="AG135" i="17"/>
  <c r="B134" i="17"/>
  <c r="D134" i="17"/>
  <c r="E134" i="17"/>
  <c r="G134" i="17"/>
  <c r="H134" i="17"/>
  <c r="J134" i="17"/>
  <c r="K134" i="17"/>
  <c r="M134" i="17"/>
  <c r="N134" i="17"/>
  <c r="P134" i="17"/>
  <c r="Q134" i="17"/>
  <c r="S134" i="17"/>
  <c r="T134" i="17"/>
  <c r="V134" i="17"/>
  <c r="W134" i="17"/>
  <c r="Y134" i="17"/>
  <c r="Z134" i="17"/>
  <c r="AB134" i="17"/>
  <c r="AC134" i="17"/>
  <c r="AE134" i="17"/>
  <c r="AF134" i="17"/>
  <c r="AG134" i="17"/>
  <c r="B133" i="17"/>
  <c r="D133" i="17"/>
  <c r="E133" i="17"/>
  <c r="G133" i="17"/>
  <c r="H133" i="17"/>
  <c r="J133" i="17"/>
  <c r="K133" i="17"/>
  <c r="M133" i="17"/>
  <c r="N133" i="17"/>
  <c r="P133" i="17"/>
  <c r="Q133" i="17"/>
  <c r="S133" i="17"/>
  <c r="T133" i="17"/>
  <c r="V133" i="17"/>
  <c r="W133" i="17"/>
  <c r="Y133" i="17"/>
  <c r="Z133" i="17"/>
  <c r="AB133" i="17"/>
  <c r="AC133" i="17"/>
  <c r="AE133" i="17"/>
  <c r="AF133" i="17"/>
  <c r="AG133" i="17"/>
  <c r="B132" i="17"/>
  <c r="D132" i="17"/>
  <c r="E132" i="17"/>
  <c r="G132" i="17"/>
  <c r="H132" i="17"/>
  <c r="J132" i="17"/>
  <c r="K132" i="17"/>
  <c r="M132" i="17"/>
  <c r="N132" i="17"/>
  <c r="P132" i="17"/>
  <c r="Q132" i="17"/>
  <c r="S132" i="17"/>
  <c r="T132" i="17"/>
  <c r="V132" i="17"/>
  <c r="W132" i="17"/>
  <c r="Y132" i="17"/>
  <c r="Z132" i="17"/>
  <c r="AB132" i="17"/>
  <c r="AC132" i="17"/>
  <c r="AE132" i="17"/>
  <c r="AF132" i="17"/>
  <c r="AG132" i="17"/>
  <c r="B131" i="17"/>
  <c r="D131" i="17"/>
  <c r="E131" i="17"/>
  <c r="G131" i="17"/>
  <c r="H131" i="17"/>
  <c r="J131" i="17"/>
  <c r="K131" i="17"/>
  <c r="M131" i="17"/>
  <c r="N131" i="17"/>
  <c r="P131" i="17"/>
  <c r="Q131" i="17"/>
  <c r="S131" i="17"/>
  <c r="T131" i="17"/>
  <c r="V131" i="17"/>
  <c r="W131" i="17"/>
  <c r="Y131" i="17"/>
  <c r="Z131" i="17"/>
  <c r="AB131" i="17"/>
  <c r="AC131" i="17"/>
  <c r="AE131" i="17"/>
  <c r="AF131" i="17"/>
  <c r="AG131" i="17"/>
  <c r="AC124" i="17"/>
  <c r="AE124" i="17"/>
  <c r="AC125" i="17"/>
  <c r="AE125" i="17"/>
  <c r="AC126" i="17"/>
  <c r="AE126" i="17"/>
  <c r="AC127" i="17"/>
  <c r="AE127" i="17"/>
  <c r="AC128" i="17"/>
  <c r="AE128" i="17"/>
  <c r="AC129" i="17"/>
  <c r="Z124" i="17"/>
  <c r="AB124" i="17"/>
  <c r="Z125" i="17"/>
  <c r="AB125" i="17"/>
  <c r="Z126" i="17"/>
  <c r="AB126" i="17"/>
  <c r="Z127" i="17"/>
  <c r="AB127" i="17"/>
  <c r="Z128" i="17"/>
  <c r="AB128" i="17"/>
  <c r="Z129" i="17"/>
  <c r="W124" i="17"/>
  <c r="Y124" i="17"/>
  <c r="W125" i="17"/>
  <c r="Y125" i="17"/>
  <c r="W126" i="17"/>
  <c r="Y126" i="17"/>
  <c r="W127" i="17"/>
  <c r="Y127" i="17"/>
  <c r="W128" i="17"/>
  <c r="Y128" i="17"/>
  <c r="W129" i="17"/>
  <c r="T124" i="17"/>
  <c r="V124" i="17"/>
  <c r="T125" i="17"/>
  <c r="V125" i="17"/>
  <c r="T126" i="17"/>
  <c r="V126" i="17"/>
  <c r="T127" i="17"/>
  <c r="V127" i="17"/>
  <c r="T128" i="17"/>
  <c r="V128" i="17"/>
  <c r="T129" i="17"/>
  <c r="Q124" i="17"/>
  <c r="S124" i="17"/>
  <c r="Q125" i="17"/>
  <c r="S125" i="17"/>
  <c r="Q126" i="17"/>
  <c r="S126" i="17"/>
  <c r="Q127" i="17"/>
  <c r="S127" i="17"/>
  <c r="Q128" i="17"/>
  <c r="S128" i="17"/>
  <c r="Q129" i="17"/>
  <c r="N124" i="17"/>
  <c r="P124" i="17"/>
  <c r="N125" i="17"/>
  <c r="P125" i="17"/>
  <c r="N126" i="17"/>
  <c r="P126" i="17"/>
  <c r="N127" i="17"/>
  <c r="P127" i="17"/>
  <c r="N128" i="17"/>
  <c r="P128" i="17"/>
  <c r="N129" i="17"/>
  <c r="K124" i="17"/>
  <c r="M124" i="17"/>
  <c r="K125" i="17"/>
  <c r="M125" i="17"/>
  <c r="K126" i="17"/>
  <c r="M126" i="17"/>
  <c r="K127" i="17"/>
  <c r="M127" i="17"/>
  <c r="K128" i="17"/>
  <c r="M128" i="17"/>
  <c r="K129" i="17"/>
  <c r="AE122" i="17"/>
  <c r="AC122" i="17"/>
  <c r="AD122" i="17"/>
  <c r="AB122" i="17"/>
  <c r="Z122" i="17"/>
  <c r="AA122" i="17"/>
  <c r="Y122" i="17"/>
  <c r="W122" i="17"/>
  <c r="X122" i="17"/>
  <c r="V122" i="17"/>
  <c r="T122" i="17"/>
  <c r="U122" i="17"/>
  <c r="S122" i="17"/>
  <c r="Q122" i="17"/>
  <c r="R122" i="17"/>
  <c r="P122" i="17"/>
  <c r="N122" i="17"/>
  <c r="O122" i="17"/>
  <c r="M122" i="17"/>
  <c r="K122" i="17"/>
  <c r="L122" i="17"/>
  <c r="AE115" i="17"/>
  <c r="AC115" i="17"/>
  <c r="AB115" i="17"/>
  <c r="Z115" i="17"/>
  <c r="Y115" i="17"/>
  <c r="W115" i="17"/>
  <c r="V115" i="17"/>
  <c r="T115" i="17"/>
  <c r="S115" i="17"/>
  <c r="Q115" i="17"/>
  <c r="P115" i="17"/>
  <c r="N115" i="17"/>
  <c r="M115" i="17"/>
  <c r="K115" i="17"/>
  <c r="J115" i="17"/>
  <c r="H115" i="17"/>
  <c r="G115" i="17"/>
  <c r="E115" i="17"/>
  <c r="D115" i="17"/>
  <c r="B115" i="17"/>
  <c r="AD114" i="17"/>
  <c r="AA114" i="17"/>
  <c r="X114" i="17"/>
  <c r="U114" i="17"/>
  <c r="R114" i="17"/>
  <c r="O114" i="17"/>
  <c r="L114" i="17"/>
  <c r="I114" i="17"/>
  <c r="F114" i="17"/>
  <c r="A114" i="17"/>
  <c r="AG113" i="17"/>
  <c r="AH113" i="17"/>
  <c r="AI113" i="17"/>
  <c r="AJ113" i="17"/>
  <c r="AK113" i="17"/>
  <c r="AL113" i="17"/>
  <c r="AM113" i="17"/>
  <c r="AN113" i="17"/>
  <c r="AO113" i="17"/>
  <c r="AP113" i="17"/>
  <c r="AQ113" i="17"/>
  <c r="AF113" i="17"/>
  <c r="AD113" i="17"/>
  <c r="AA113" i="17"/>
  <c r="X113" i="17"/>
  <c r="U113" i="17"/>
  <c r="R113" i="17"/>
  <c r="O113" i="17"/>
  <c r="L113" i="17"/>
  <c r="I113" i="17"/>
  <c r="F113" i="17"/>
  <c r="A113" i="17"/>
  <c r="AG112" i="17"/>
  <c r="AH112" i="17"/>
  <c r="AI112" i="17"/>
  <c r="AJ112" i="17"/>
  <c r="AK112" i="17"/>
  <c r="AL112" i="17"/>
  <c r="AM112" i="17"/>
  <c r="AN112" i="17"/>
  <c r="AO112" i="17"/>
  <c r="AP112" i="17"/>
  <c r="AQ112" i="17"/>
  <c r="AF112" i="17"/>
  <c r="AD112" i="17"/>
  <c r="AA112" i="17"/>
  <c r="X112" i="17"/>
  <c r="U112" i="17"/>
  <c r="R112" i="17"/>
  <c r="O112" i="17"/>
  <c r="L112" i="17"/>
  <c r="I112" i="17"/>
  <c r="F112" i="17"/>
  <c r="A112" i="17"/>
  <c r="AG111" i="17"/>
  <c r="AH111" i="17"/>
  <c r="AI111" i="17"/>
  <c r="AJ111" i="17"/>
  <c r="AK111" i="17"/>
  <c r="AL111" i="17"/>
  <c r="AM111" i="17"/>
  <c r="AN111" i="17"/>
  <c r="AO111" i="17"/>
  <c r="AP111" i="17"/>
  <c r="AQ111" i="17"/>
  <c r="AF111" i="17"/>
  <c r="AD111" i="17"/>
  <c r="AA111" i="17"/>
  <c r="X111" i="17"/>
  <c r="U111" i="17"/>
  <c r="R111" i="17"/>
  <c r="O111" i="17"/>
  <c r="L111" i="17"/>
  <c r="I111" i="17"/>
  <c r="F111" i="17"/>
  <c r="A111" i="17"/>
  <c r="AG110" i="17"/>
  <c r="AH110" i="17"/>
  <c r="AI110" i="17"/>
  <c r="AJ110" i="17"/>
  <c r="AK110" i="17"/>
  <c r="AL110" i="17"/>
  <c r="AM110" i="17"/>
  <c r="AN110" i="17"/>
  <c r="AO110" i="17"/>
  <c r="AP110" i="17"/>
  <c r="AQ110" i="17"/>
  <c r="AF110" i="17"/>
  <c r="AD110" i="17"/>
  <c r="AA110" i="17"/>
  <c r="X110" i="17"/>
  <c r="U110" i="17"/>
  <c r="R110" i="17"/>
  <c r="O110" i="17"/>
  <c r="L110" i="17"/>
  <c r="I110" i="17"/>
  <c r="F110" i="17"/>
  <c r="AG109" i="17"/>
  <c r="AH109" i="17"/>
  <c r="AI109" i="17"/>
  <c r="AJ109" i="17"/>
  <c r="AK109" i="17"/>
  <c r="AL109" i="17"/>
  <c r="AM109" i="17"/>
  <c r="AN109" i="17"/>
  <c r="AO109" i="17"/>
  <c r="AP109" i="17"/>
  <c r="AQ109" i="17"/>
  <c r="AF109" i="17"/>
  <c r="AD109" i="17"/>
  <c r="AA109" i="17"/>
  <c r="X109" i="17"/>
  <c r="U109" i="17"/>
  <c r="R109" i="17"/>
  <c r="O109" i="17"/>
  <c r="L109" i="17"/>
  <c r="I109" i="17"/>
  <c r="F109" i="17"/>
  <c r="AC107" i="17"/>
  <c r="Z107" i="17"/>
  <c r="W107" i="17"/>
  <c r="T107" i="17"/>
  <c r="Q107" i="17"/>
  <c r="N107" i="17"/>
  <c r="K107" i="17"/>
  <c r="H107" i="17"/>
  <c r="E107" i="17"/>
  <c r="E102" i="17"/>
  <c r="AC101" i="17"/>
  <c r="Z101" i="17"/>
  <c r="W101" i="17"/>
  <c r="R101" i="17"/>
  <c r="L101" i="17"/>
  <c r="A101" i="17"/>
  <c r="E100" i="17"/>
  <c r="AC99" i="17"/>
  <c r="Z99" i="17"/>
  <c r="W99" i="17"/>
  <c r="R99" i="17"/>
  <c r="L99" i="17"/>
  <c r="A99" i="17"/>
  <c r="E98" i="17"/>
  <c r="AC97" i="17"/>
  <c r="Z97" i="17"/>
  <c r="W97" i="17"/>
  <c r="R97" i="17"/>
  <c r="L97" i="17"/>
  <c r="A97" i="17"/>
  <c r="E96" i="17"/>
  <c r="AC95" i="17"/>
  <c r="Z95" i="17"/>
  <c r="W95" i="17"/>
  <c r="R95" i="17"/>
  <c r="L95" i="17"/>
  <c r="A95" i="17"/>
  <c r="E94" i="17"/>
  <c r="AC93" i="17"/>
  <c r="Z93" i="17"/>
  <c r="W93" i="17"/>
  <c r="R93" i="17"/>
  <c r="L93" i="17"/>
  <c r="A93" i="17"/>
  <c r="R92" i="17"/>
  <c r="L92" i="17"/>
  <c r="K91" i="17"/>
  <c r="A89" i="17"/>
  <c r="AE85" i="17"/>
  <c r="AE31" i="17"/>
  <c r="AE32" i="17"/>
  <c r="AE33" i="17"/>
  <c r="AE34" i="17"/>
  <c r="AE35" i="17"/>
  <c r="AE36" i="17"/>
  <c r="AC85" i="17"/>
  <c r="AC31" i="17"/>
  <c r="AC32" i="17"/>
  <c r="AC33" i="17"/>
  <c r="AC34" i="17"/>
  <c r="AC35" i="17"/>
  <c r="AC36" i="17"/>
  <c r="AB85" i="17"/>
  <c r="AB31" i="17"/>
  <c r="AB32" i="17"/>
  <c r="AB33" i="17"/>
  <c r="AB34" i="17"/>
  <c r="AB35" i="17"/>
  <c r="AB36" i="17"/>
  <c r="Z85" i="17"/>
  <c r="Z31" i="17"/>
  <c r="Z32" i="17"/>
  <c r="Z33" i="17"/>
  <c r="Z34" i="17"/>
  <c r="Z35" i="17"/>
  <c r="Z36" i="17"/>
  <c r="Y85" i="17"/>
  <c r="Y31" i="17"/>
  <c r="Y32" i="17"/>
  <c r="Y33" i="17"/>
  <c r="Y34" i="17"/>
  <c r="Y35" i="17"/>
  <c r="Y36" i="17"/>
  <c r="W85" i="17"/>
  <c r="W31" i="17"/>
  <c r="W32" i="17"/>
  <c r="W33" i="17"/>
  <c r="W34" i="17"/>
  <c r="W35" i="17"/>
  <c r="W36" i="17"/>
  <c r="V85" i="17"/>
  <c r="T86" i="17" s="1"/>
  <c r="T87" i="17" s="1"/>
  <c r="V31" i="17"/>
  <c r="V32" i="17"/>
  <c r="V33" i="17"/>
  <c r="V34" i="17"/>
  <c r="V35" i="17"/>
  <c r="V36" i="17"/>
  <c r="T85" i="17"/>
  <c r="T31" i="17"/>
  <c r="T32" i="17"/>
  <c r="T33" i="17"/>
  <c r="T34" i="17"/>
  <c r="T35" i="17"/>
  <c r="T36" i="17"/>
  <c r="S85" i="17"/>
  <c r="S31" i="17"/>
  <c r="S32" i="17"/>
  <c r="S33" i="17"/>
  <c r="S34" i="17"/>
  <c r="S35" i="17"/>
  <c r="S36" i="17"/>
  <c r="Q85" i="17"/>
  <c r="Q86" i="17" s="1"/>
  <c r="Q31" i="17"/>
  <c r="Q32" i="17"/>
  <c r="Q33" i="17"/>
  <c r="Q34" i="17"/>
  <c r="Q35" i="17"/>
  <c r="Q36" i="17"/>
  <c r="P85" i="17"/>
  <c r="P31" i="17"/>
  <c r="P32" i="17"/>
  <c r="P33" i="17"/>
  <c r="P34" i="17"/>
  <c r="P35" i="17"/>
  <c r="P36" i="17"/>
  <c r="N85" i="17"/>
  <c r="N31" i="17"/>
  <c r="N32" i="17"/>
  <c r="N33" i="17"/>
  <c r="N34" i="17"/>
  <c r="N35" i="17"/>
  <c r="N36" i="17"/>
  <c r="M85" i="17"/>
  <c r="M31" i="17"/>
  <c r="M32" i="17"/>
  <c r="M33" i="17"/>
  <c r="M34" i="17"/>
  <c r="M35" i="17"/>
  <c r="M36" i="17"/>
  <c r="K85" i="17"/>
  <c r="K31" i="17"/>
  <c r="K32" i="17"/>
  <c r="K33" i="17"/>
  <c r="K34" i="17"/>
  <c r="K35" i="17"/>
  <c r="K36" i="17"/>
  <c r="E74" i="17"/>
  <c r="E64" i="17"/>
  <c r="G64" i="17"/>
  <c r="E31" i="17"/>
  <c r="E32" i="17"/>
  <c r="E33" i="17"/>
  <c r="E34" i="17"/>
  <c r="E35" i="17"/>
  <c r="E65" i="17"/>
  <c r="G65" i="17"/>
  <c r="E66" i="17"/>
  <c r="G31" i="17"/>
  <c r="G32" i="17"/>
  <c r="G33" i="17"/>
  <c r="G34" i="17"/>
  <c r="G35" i="17"/>
  <c r="G66" i="17"/>
  <c r="E67" i="17"/>
  <c r="G67" i="17"/>
  <c r="E68" i="17"/>
  <c r="G68" i="17"/>
  <c r="F71" i="17"/>
  <c r="G74" i="17"/>
  <c r="B74" i="17"/>
  <c r="D74" i="17"/>
  <c r="E12" i="17"/>
  <c r="B81" i="17"/>
  <c r="C81" i="17"/>
  <c r="D81" i="17" s="1"/>
  <c r="G85" i="17" s="1"/>
  <c r="G36" i="17"/>
  <c r="C80" i="17"/>
  <c r="D85" i="17" s="1"/>
  <c r="C79" i="17"/>
  <c r="B85" i="17" s="1"/>
  <c r="E36" i="17"/>
  <c r="J31" i="17"/>
  <c r="J32" i="17"/>
  <c r="J33" i="17"/>
  <c r="J34" i="17"/>
  <c r="J35" i="17"/>
  <c r="J36" i="17"/>
  <c r="E72" i="17"/>
  <c r="G72" i="17"/>
  <c r="B31" i="17"/>
  <c r="B32" i="17"/>
  <c r="B33" i="17"/>
  <c r="B34" i="17"/>
  <c r="B35" i="17"/>
  <c r="B64" i="17"/>
  <c r="D64" i="17"/>
  <c r="B65" i="17"/>
  <c r="D31" i="17"/>
  <c r="D32" i="17"/>
  <c r="D33" i="17"/>
  <c r="D34" i="17"/>
  <c r="D35" i="17"/>
  <c r="D65" i="17"/>
  <c r="B66" i="17"/>
  <c r="D66" i="17"/>
  <c r="B67" i="17"/>
  <c r="D67" i="17"/>
  <c r="B68" i="17"/>
  <c r="D68" i="17"/>
  <c r="C71" i="17"/>
  <c r="B72" i="17"/>
  <c r="D72" i="17"/>
  <c r="E8" i="17"/>
  <c r="B79" i="17"/>
  <c r="B36" i="17"/>
  <c r="D36" i="17"/>
  <c r="H31" i="17"/>
  <c r="H32" i="17"/>
  <c r="H33" i="17"/>
  <c r="H34" i="17"/>
  <c r="H35" i="17"/>
  <c r="H36" i="17"/>
  <c r="B73" i="17"/>
  <c r="D73" i="17"/>
  <c r="E10" i="17"/>
  <c r="B80" i="17"/>
  <c r="AC76" i="17"/>
  <c r="AE76" i="17"/>
  <c r="Z76" i="17"/>
  <c r="AB76" i="17"/>
  <c r="W76" i="17"/>
  <c r="Y76" i="17"/>
  <c r="T76" i="17"/>
  <c r="V76" i="17"/>
  <c r="Q76" i="17"/>
  <c r="S76" i="17"/>
  <c r="N76" i="17"/>
  <c r="P76" i="17"/>
  <c r="K76" i="17"/>
  <c r="M76" i="17"/>
  <c r="H76" i="17"/>
  <c r="J76" i="17"/>
  <c r="E76" i="17"/>
  <c r="G76" i="17"/>
  <c r="B76" i="17"/>
  <c r="D76" i="17"/>
  <c r="E16" i="17"/>
  <c r="B83" i="17"/>
  <c r="C83" i="17"/>
  <c r="D83" i="17" s="1"/>
  <c r="G83" i="17" s="1"/>
  <c r="J83" i="17" s="1"/>
  <c r="M83" i="17" s="1"/>
  <c r="P83" i="17" s="1"/>
  <c r="S83" i="17" s="1"/>
  <c r="V83" i="17" s="1"/>
  <c r="Y83" i="17" s="1"/>
  <c r="AB83" i="17" s="1"/>
  <c r="AE83" i="17" s="1"/>
  <c r="AU83" i="17" s="1"/>
  <c r="AT83" i="17"/>
  <c r="AC75" i="17"/>
  <c r="AE75" i="17"/>
  <c r="Z75" i="17"/>
  <c r="AB75" i="17"/>
  <c r="W75" i="17"/>
  <c r="Y75" i="17"/>
  <c r="T75" i="17"/>
  <c r="V75" i="17"/>
  <c r="Q75" i="17"/>
  <c r="S75" i="17"/>
  <c r="N75" i="17"/>
  <c r="P75" i="17"/>
  <c r="K75" i="17"/>
  <c r="M75" i="17"/>
  <c r="H75" i="17"/>
  <c r="J75" i="17"/>
  <c r="E75" i="17"/>
  <c r="G75" i="17"/>
  <c r="B75" i="17"/>
  <c r="D75" i="17"/>
  <c r="E14" i="17"/>
  <c r="B82" i="17"/>
  <c r="C82" i="17"/>
  <c r="D82" i="17" s="1"/>
  <c r="G82" i="17" s="1"/>
  <c r="J82" i="17" s="1"/>
  <c r="M82" i="17" s="1"/>
  <c r="P82" i="17" s="1"/>
  <c r="S82" i="17" s="1"/>
  <c r="V82" i="17" s="1"/>
  <c r="Y82" i="17" s="1"/>
  <c r="AB82" i="17" s="1"/>
  <c r="AE82" i="17" s="1"/>
  <c r="AU82" i="17" s="1"/>
  <c r="AX14" i="17" s="1"/>
  <c r="AT82" i="17"/>
  <c r="AC74" i="17"/>
  <c r="AE74" i="17"/>
  <c r="Z74" i="17"/>
  <c r="AB74" i="17"/>
  <c r="W74" i="17"/>
  <c r="Y74" i="17"/>
  <c r="T74" i="17"/>
  <c r="V74" i="17"/>
  <c r="Q74" i="17"/>
  <c r="S74" i="17"/>
  <c r="N74" i="17"/>
  <c r="P74" i="17"/>
  <c r="K74" i="17"/>
  <c r="M74" i="17"/>
  <c r="H74" i="17"/>
  <c r="H64" i="17"/>
  <c r="J64" i="17"/>
  <c r="H65" i="17"/>
  <c r="J65" i="17"/>
  <c r="H66" i="17"/>
  <c r="J66" i="17"/>
  <c r="H67" i="17"/>
  <c r="J67" i="17"/>
  <c r="H68" i="17"/>
  <c r="J68" i="17"/>
  <c r="I71" i="17"/>
  <c r="J74" i="17"/>
  <c r="AT81" i="17"/>
  <c r="AC73" i="17"/>
  <c r="AE73" i="17"/>
  <c r="Z73" i="17"/>
  <c r="AB73" i="17"/>
  <c r="W73" i="17"/>
  <c r="Y73" i="17"/>
  <c r="T73" i="17"/>
  <c r="V73" i="17"/>
  <c r="Q73" i="17"/>
  <c r="S73" i="17"/>
  <c r="N73" i="17"/>
  <c r="P73" i="17"/>
  <c r="K73" i="17"/>
  <c r="M73" i="17"/>
  <c r="H73" i="17"/>
  <c r="J73" i="17"/>
  <c r="E73" i="17"/>
  <c r="G73" i="17"/>
  <c r="AT80" i="17"/>
  <c r="AC72" i="17"/>
  <c r="AE72" i="17"/>
  <c r="Z72" i="17"/>
  <c r="AB72" i="17"/>
  <c r="W72" i="17"/>
  <c r="Y72" i="17"/>
  <c r="T72" i="17"/>
  <c r="V72" i="17"/>
  <c r="Q72" i="17"/>
  <c r="S72" i="17"/>
  <c r="N72" i="17"/>
  <c r="P72" i="17"/>
  <c r="K72" i="17"/>
  <c r="M72" i="17"/>
  <c r="H72" i="17"/>
  <c r="J72" i="17"/>
  <c r="AT79" i="17"/>
  <c r="AF76" i="17"/>
  <c r="AF75" i="17"/>
  <c r="AF74" i="17"/>
  <c r="AF73" i="17"/>
  <c r="AF72" i="17"/>
  <c r="AC64" i="17"/>
  <c r="AE64" i="17"/>
  <c r="AC65" i="17"/>
  <c r="AE65" i="17"/>
  <c r="AC66" i="17"/>
  <c r="AE66" i="17"/>
  <c r="AC67" i="17"/>
  <c r="AE67" i="17"/>
  <c r="AC68" i="17"/>
  <c r="AE68" i="17"/>
  <c r="AD71" i="17"/>
  <c r="Z64" i="17"/>
  <c r="AB64" i="17"/>
  <c r="Z65" i="17"/>
  <c r="AB65" i="17"/>
  <c r="Z66" i="17"/>
  <c r="AB66" i="17"/>
  <c r="Z67" i="17"/>
  <c r="AB67" i="17"/>
  <c r="Z68" i="17"/>
  <c r="AB68" i="17"/>
  <c r="AA71" i="17"/>
  <c r="W64" i="17"/>
  <c r="Y64" i="17"/>
  <c r="W65" i="17"/>
  <c r="Y65" i="17"/>
  <c r="W66" i="17"/>
  <c r="Y66" i="17"/>
  <c r="W67" i="17"/>
  <c r="Y67" i="17"/>
  <c r="W68" i="17"/>
  <c r="Y68" i="17"/>
  <c r="X71" i="17"/>
  <c r="T64" i="17"/>
  <c r="V64" i="17"/>
  <c r="T65" i="17"/>
  <c r="V65" i="17"/>
  <c r="T66" i="17"/>
  <c r="V66" i="17"/>
  <c r="T67" i="17"/>
  <c r="V67" i="17"/>
  <c r="T68" i="17"/>
  <c r="V68" i="17"/>
  <c r="U71" i="17"/>
  <c r="Q64" i="17"/>
  <c r="S64" i="17"/>
  <c r="Q65" i="17"/>
  <c r="S65" i="17"/>
  <c r="Q66" i="17"/>
  <c r="S66" i="17"/>
  <c r="Q67" i="17"/>
  <c r="S67" i="17"/>
  <c r="Q68" i="17"/>
  <c r="S68" i="17"/>
  <c r="R71" i="17"/>
  <c r="N64" i="17"/>
  <c r="P64" i="17"/>
  <c r="N65" i="17"/>
  <c r="P65" i="17"/>
  <c r="N66" i="17"/>
  <c r="P66" i="17"/>
  <c r="N67" i="17"/>
  <c r="P67" i="17"/>
  <c r="N68" i="17"/>
  <c r="P68" i="17"/>
  <c r="O71" i="17"/>
  <c r="K64" i="17"/>
  <c r="M64" i="17"/>
  <c r="K65" i="17"/>
  <c r="M65" i="17"/>
  <c r="K66" i="17"/>
  <c r="M66" i="17"/>
  <c r="K67" i="17"/>
  <c r="M67" i="17"/>
  <c r="K68" i="17"/>
  <c r="M68" i="17"/>
  <c r="L71" i="17"/>
  <c r="AF68" i="17"/>
  <c r="AG68" i="17"/>
  <c r="AF67" i="17"/>
  <c r="AG67" i="17"/>
  <c r="AF66" i="17"/>
  <c r="AG66" i="17"/>
  <c r="AF65" i="17"/>
  <c r="AG65" i="17"/>
  <c r="AF64" i="17"/>
  <c r="AG64" i="17"/>
  <c r="B62" i="17"/>
  <c r="D62" i="17"/>
  <c r="E62" i="17"/>
  <c r="G62" i="17"/>
  <c r="H62" i="17"/>
  <c r="J62" i="17"/>
  <c r="K62" i="17"/>
  <c r="M62" i="17"/>
  <c r="N62" i="17"/>
  <c r="P62" i="17"/>
  <c r="Q62" i="17"/>
  <c r="S62" i="17"/>
  <c r="T62" i="17"/>
  <c r="V62" i="17"/>
  <c r="W62" i="17"/>
  <c r="Y62" i="17"/>
  <c r="Z62" i="17"/>
  <c r="AB62" i="17"/>
  <c r="AC62" i="17"/>
  <c r="AE62" i="17"/>
  <c r="AF62" i="17"/>
  <c r="B61" i="17"/>
  <c r="D61" i="17"/>
  <c r="E61" i="17"/>
  <c r="G61" i="17"/>
  <c r="H61" i="17"/>
  <c r="J61" i="17"/>
  <c r="K61" i="17"/>
  <c r="M61" i="17"/>
  <c r="N61" i="17"/>
  <c r="P61" i="17"/>
  <c r="Q61" i="17"/>
  <c r="S61" i="17"/>
  <c r="T61" i="17"/>
  <c r="V61" i="17"/>
  <c r="W61" i="17"/>
  <c r="Y61" i="17"/>
  <c r="Z61" i="17"/>
  <c r="AB61" i="17"/>
  <c r="AC61" i="17"/>
  <c r="AE61" i="17"/>
  <c r="AF61" i="17"/>
  <c r="B60" i="17"/>
  <c r="D60" i="17"/>
  <c r="E60" i="17"/>
  <c r="E39" i="17"/>
  <c r="G39" i="17"/>
  <c r="E40" i="17"/>
  <c r="G40" i="17"/>
  <c r="E41" i="17"/>
  <c r="G41" i="17"/>
  <c r="E42" i="17"/>
  <c r="G42" i="17"/>
  <c r="E43" i="17"/>
  <c r="G43" i="17"/>
  <c r="E44" i="17"/>
  <c r="G60" i="17"/>
  <c r="H60" i="17"/>
  <c r="H39" i="17"/>
  <c r="J39" i="17"/>
  <c r="H40" i="17"/>
  <c r="J40" i="17"/>
  <c r="H41" i="17"/>
  <c r="J41" i="17"/>
  <c r="H42" i="17"/>
  <c r="J42" i="17"/>
  <c r="H43" i="17"/>
  <c r="J43" i="17"/>
  <c r="H44" i="17"/>
  <c r="J60" i="17"/>
  <c r="K60" i="17"/>
  <c r="M60" i="17"/>
  <c r="N60" i="17"/>
  <c r="P60" i="17"/>
  <c r="Q60" i="17"/>
  <c r="S60" i="17"/>
  <c r="T60" i="17"/>
  <c r="V60" i="17"/>
  <c r="W60" i="17"/>
  <c r="Y60" i="17"/>
  <c r="Z60" i="17"/>
  <c r="AB60" i="17"/>
  <c r="AC60" i="17"/>
  <c r="AE60" i="17"/>
  <c r="AF60" i="17"/>
  <c r="B59" i="17"/>
  <c r="B39" i="17"/>
  <c r="D39" i="17"/>
  <c r="B40" i="17"/>
  <c r="D40" i="17"/>
  <c r="B41" i="17"/>
  <c r="D41" i="17"/>
  <c r="B42" i="17"/>
  <c r="D42" i="17"/>
  <c r="B43" i="17"/>
  <c r="D43" i="17"/>
  <c r="B44" i="17"/>
  <c r="D59" i="17"/>
  <c r="E59" i="17"/>
  <c r="G59" i="17"/>
  <c r="H59" i="17"/>
  <c r="J59" i="17"/>
  <c r="K59" i="17"/>
  <c r="M59" i="17"/>
  <c r="N59" i="17"/>
  <c r="P59" i="17"/>
  <c r="Q59" i="17"/>
  <c r="S59" i="17"/>
  <c r="T59" i="17"/>
  <c r="V59" i="17"/>
  <c r="W59" i="17"/>
  <c r="Y59" i="17"/>
  <c r="Z59" i="17"/>
  <c r="AB59" i="17"/>
  <c r="AC59" i="17"/>
  <c r="AE59" i="17"/>
  <c r="AF59" i="17"/>
  <c r="B58" i="17"/>
  <c r="D58" i="17"/>
  <c r="E58" i="17"/>
  <c r="G58" i="17"/>
  <c r="H58" i="17"/>
  <c r="J58" i="17"/>
  <c r="K58" i="17"/>
  <c r="M58" i="17"/>
  <c r="N58" i="17"/>
  <c r="P58" i="17"/>
  <c r="Q58" i="17"/>
  <c r="S58" i="17"/>
  <c r="T58" i="17"/>
  <c r="V58" i="17"/>
  <c r="W58" i="17"/>
  <c r="Y58" i="17"/>
  <c r="Z58" i="17"/>
  <c r="AB58" i="17"/>
  <c r="AC58" i="17"/>
  <c r="AE58" i="17"/>
  <c r="AF58" i="17"/>
  <c r="B56" i="17"/>
  <c r="D56" i="17"/>
  <c r="E56" i="17"/>
  <c r="G56" i="17"/>
  <c r="H56" i="17"/>
  <c r="J56" i="17"/>
  <c r="K56" i="17"/>
  <c r="M56" i="17"/>
  <c r="N56" i="17"/>
  <c r="P56" i="17"/>
  <c r="Q56" i="17"/>
  <c r="S56" i="17"/>
  <c r="T56" i="17"/>
  <c r="V56" i="17"/>
  <c r="W56" i="17"/>
  <c r="Y56" i="17"/>
  <c r="Z56" i="17"/>
  <c r="AB56" i="17"/>
  <c r="AC56" i="17"/>
  <c r="AE56" i="17"/>
  <c r="AF56" i="17"/>
  <c r="B55" i="17"/>
  <c r="D55" i="17"/>
  <c r="E55" i="17"/>
  <c r="G55" i="17"/>
  <c r="H55" i="17"/>
  <c r="J55" i="17"/>
  <c r="K55" i="17"/>
  <c r="M55" i="17"/>
  <c r="N55" i="17"/>
  <c r="P55" i="17"/>
  <c r="Q55" i="17"/>
  <c r="S55" i="17"/>
  <c r="T55" i="17"/>
  <c r="V55" i="17"/>
  <c r="W55" i="17"/>
  <c r="Y55" i="17"/>
  <c r="Z55" i="17"/>
  <c r="AB55" i="17"/>
  <c r="AC55" i="17"/>
  <c r="AE55" i="17"/>
  <c r="AF55" i="17"/>
  <c r="B54" i="17"/>
  <c r="D54" i="17"/>
  <c r="E54" i="17"/>
  <c r="E37" i="17"/>
  <c r="G37" i="17"/>
  <c r="F37" i="17"/>
  <c r="G54" i="17"/>
  <c r="H54" i="17"/>
  <c r="H37" i="17"/>
  <c r="J37" i="17"/>
  <c r="I37" i="17"/>
  <c r="J54" i="17"/>
  <c r="K54" i="17"/>
  <c r="M54" i="17"/>
  <c r="N54" i="17"/>
  <c r="P54" i="17"/>
  <c r="Q54" i="17"/>
  <c r="S54" i="17"/>
  <c r="T54" i="17"/>
  <c r="V54" i="17"/>
  <c r="W54" i="17"/>
  <c r="Y54" i="17"/>
  <c r="Z54" i="17"/>
  <c r="AB54" i="17"/>
  <c r="AC54" i="17"/>
  <c r="AE54" i="17"/>
  <c r="AF54" i="17"/>
  <c r="B53" i="17"/>
  <c r="B37" i="17"/>
  <c r="D37" i="17"/>
  <c r="C37" i="17"/>
  <c r="D53" i="17"/>
  <c r="E53" i="17"/>
  <c r="G53" i="17"/>
  <c r="H53" i="17"/>
  <c r="J53" i="17"/>
  <c r="K53" i="17"/>
  <c r="M53" i="17"/>
  <c r="N53" i="17"/>
  <c r="P53" i="17"/>
  <c r="Q53" i="17"/>
  <c r="S53" i="17"/>
  <c r="T53" i="17"/>
  <c r="V53" i="17"/>
  <c r="W53" i="17"/>
  <c r="Y53" i="17"/>
  <c r="Z53" i="17"/>
  <c r="AB53" i="17"/>
  <c r="AC53" i="17"/>
  <c r="AE53" i="17"/>
  <c r="AF53" i="17"/>
  <c r="B52" i="17"/>
  <c r="D52" i="17"/>
  <c r="E52" i="17"/>
  <c r="G52" i="17"/>
  <c r="H52" i="17"/>
  <c r="J52" i="17"/>
  <c r="K52" i="17"/>
  <c r="M52" i="17"/>
  <c r="N52" i="17"/>
  <c r="P52" i="17"/>
  <c r="Q52" i="17"/>
  <c r="S52" i="17"/>
  <c r="T52" i="17"/>
  <c r="V52" i="17"/>
  <c r="W52" i="17"/>
  <c r="Y52" i="17"/>
  <c r="Z52" i="17"/>
  <c r="AB52" i="17"/>
  <c r="AC52" i="17"/>
  <c r="AE52" i="17"/>
  <c r="AF52" i="17"/>
  <c r="B50" i="17"/>
  <c r="D50" i="17"/>
  <c r="E50" i="17"/>
  <c r="G50" i="17"/>
  <c r="H50" i="17"/>
  <c r="J50" i="17"/>
  <c r="K50" i="17"/>
  <c r="M50" i="17"/>
  <c r="N50" i="17"/>
  <c r="P50" i="17"/>
  <c r="Q50" i="17"/>
  <c r="S50" i="17"/>
  <c r="T50" i="17"/>
  <c r="V50" i="17"/>
  <c r="W50" i="17"/>
  <c r="Y50" i="17"/>
  <c r="Z50" i="17"/>
  <c r="AB50" i="17"/>
  <c r="AC50" i="17"/>
  <c r="AE50" i="17"/>
  <c r="AF50" i="17"/>
  <c r="AG50" i="17"/>
  <c r="B49" i="17"/>
  <c r="D49" i="17"/>
  <c r="E49" i="17"/>
  <c r="G49" i="17"/>
  <c r="H49" i="17"/>
  <c r="J49" i="17"/>
  <c r="K49" i="17"/>
  <c r="M49" i="17"/>
  <c r="N49" i="17"/>
  <c r="P49" i="17"/>
  <c r="Q49" i="17"/>
  <c r="S49" i="17"/>
  <c r="T49" i="17"/>
  <c r="V49" i="17"/>
  <c r="W49" i="17"/>
  <c r="Y49" i="17"/>
  <c r="Z49" i="17"/>
  <c r="AB49" i="17"/>
  <c r="AC49" i="17"/>
  <c r="AE49" i="17"/>
  <c r="AF49" i="17"/>
  <c r="AG49" i="17"/>
  <c r="B48" i="17"/>
  <c r="D48" i="17"/>
  <c r="E48" i="17"/>
  <c r="G48" i="17"/>
  <c r="H48" i="17"/>
  <c r="J48" i="17"/>
  <c r="K48" i="17"/>
  <c r="M48" i="17"/>
  <c r="N48" i="17"/>
  <c r="P48" i="17"/>
  <c r="Q48" i="17"/>
  <c r="S48" i="17"/>
  <c r="T48" i="17"/>
  <c r="V48" i="17"/>
  <c r="W48" i="17"/>
  <c r="Y48" i="17"/>
  <c r="Z48" i="17"/>
  <c r="AB48" i="17"/>
  <c r="AC48" i="17"/>
  <c r="AE48" i="17"/>
  <c r="AF48" i="17"/>
  <c r="AG48" i="17"/>
  <c r="B47" i="17"/>
  <c r="D47" i="17"/>
  <c r="E47" i="17"/>
  <c r="G47" i="17"/>
  <c r="H47" i="17"/>
  <c r="J47" i="17"/>
  <c r="K47" i="17"/>
  <c r="M47" i="17"/>
  <c r="N47" i="17"/>
  <c r="P47" i="17"/>
  <c r="Q47" i="17"/>
  <c r="S47" i="17"/>
  <c r="T47" i="17"/>
  <c r="V47" i="17"/>
  <c r="W47" i="17"/>
  <c r="Y47" i="17"/>
  <c r="Z47" i="17"/>
  <c r="AB47" i="17"/>
  <c r="AC47" i="17"/>
  <c r="AE47" i="17"/>
  <c r="AF47" i="17"/>
  <c r="AG47" i="17"/>
  <c r="B46" i="17"/>
  <c r="D46" i="17"/>
  <c r="E46" i="17"/>
  <c r="G46" i="17"/>
  <c r="H46" i="17"/>
  <c r="J46" i="17"/>
  <c r="K46" i="17"/>
  <c r="M46" i="17"/>
  <c r="N46" i="17"/>
  <c r="P46" i="17"/>
  <c r="Q46" i="17"/>
  <c r="S46" i="17"/>
  <c r="T46" i="17"/>
  <c r="V46" i="17"/>
  <c r="W46" i="17"/>
  <c r="Y46" i="17"/>
  <c r="Z46" i="17"/>
  <c r="AB46" i="17"/>
  <c r="AC46" i="17"/>
  <c r="AE46" i="17"/>
  <c r="AF46" i="17"/>
  <c r="AG46" i="17"/>
  <c r="AC39" i="17"/>
  <c r="AE39" i="17"/>
  <c r="AC40" i="17"/>
  <c r="AE40" i="17"/>
  <c r="AC41" i="17"/>
  <c r="AE41" i="17"/>
  <c r="AC42" i="17"/>
  <c r="AE42" i="17"/>
  <c r="AC43" i="17"/>
  <c r="AE43" i="17"/>
  <c r="AC44" i="17"/>
  <c r="Z39" i="17"/>
  <c r="AB39" i="17"/>
  <c r="Z40" i="17"/>
  <c r="AB40" i="17"/>
  <c r="Z41" i="17"/>
  <c r="AB41" i="17"/>
  <c r="Z42" i="17"/>
  <c r="AB42" i="17"/>
  <c r="Z43" i="17"/>
  <c r="AB43" i="17"/>
  <c r="Z44" i="17"/>
  <c r="W39" i="17"/>
  <c r="Y39" i="17"/>
  <c r="W40" i="17"/>
  <c r="Y40" i="17"/>
  <c r="W41" i="17"/>
  <c r="Y41" i="17"/>
  <c r="W42" i="17"/>
  <c r="Y42" i="17"/>
  <c r="W43" i="17"/>
  <c r="Y43" i="17"/>
  <c r="W44" i="17"/>
  <c r="T39" i="17"/>
  <c r="V39" i="17"/>
  <c r="T40" i="17"/>
  <c r="V40" i="17"/>
  <c r="T41" i="17"/>
  <c r="V41" i="17"/>
  <c r="T42" i="17"/>
  <c r="V42" i="17"/>
  <c r="T43" i="17"/>
  <c r="V43" i="17"/>
  <c r="T44" i="17"/>
  <c r="Q39" i="17"/>
  <c r="S39" i="17"/>
  <c r="Q40" i="17"/>
  <c r="S40" i="17"/>
  <c r="Q41" i="17"/>
  <c r="S41" i="17"/>
  <c r="Q42" i="17"/>
  <c r="S42" i="17"/>
  <c r="Q43" i="17"/>
  <c r="S43" i="17"/>
  <c r="Q44" i="17"/>
  <c r="N39" i="17"/>
  <c r="P39" i="17"/>
  <c r="N40" i="17"/>
  <c r="P40" i="17"/>
  <c r="N41" i="17"/>
  <c r="P41" i="17"/>
  <c r="N42" i="17"/>
  <c r="P42" i="17"/>
  <c r="N43" i="17"/>
  <c r="P43" i="17"/>
  <c r="N44" i="17"/>
  <c r="K39" i="17"/>
  <c r="M39" i="17"/>
  <c r="K40" i="17"/>
  <c r="M40" i="17"/>
  <c r="K41" i="17"/>
  <c r="M41" i="17"/>
  <c r="K42" i="17"/>
  <c r="M42" i="17"/>
  <c r="K43" i="17"/>
  <c r="M43" i="17"/>
  <c r="K44" i="17"/>
  <c r="AE37" i="17"/>
  <c r="AC37" i="17"/>
  <c r="AD37" i="17"/>
  <c r="AB37" i="17"/>
  <c r="Z37" i="17"/>
  <c r="AA37" i="17"/>
  <c r="Y37" i="17"/>
  <c r="W37" i="17"/>
  <c r="X37" i="17"/>
  <c r="V37" i="17"/>
  <c r="T37" i="17"/>
  <c r="U37" i="17"/>
  <c r="S37" i="17"/>
  <c r="Q37" i="17"/>
  <c r="R37" i="17"/>
  <c r="P37" i="17"/>
  <c r="N37" i="17"/>
  <c r="O37" i="17"/>
  <c r="M37" i="17"/>
  <c r="K37" i="17"/>
  <c r="L37" i="17"/>
  <c r="AE30" i="17"/>
  <c r="AC30" i="17"/>
  <c r="AB30" i="17"/>
  <c r="Z30" i="17"/>
  <c r="Y30" i="17"/>
  <c r="W30" i="17"/>
  <c r="V30" i="17"/>
  <c r="T30" i="17"/>
  <c r="S30" i="17"/>
  <c r="Q30" i="17"/>
  <c r="P30" i="17"/>
  <c r="N30" i="17"/>
  <c r="M30" i="17"/>
  <c r="K30" i="17"/>
  <c r="J30" i="17"/>
  <c r="H30" i="17"/>
  <c r="G30" i="17"/>
  <c r="E30" i="17"/>
  <c r="D30" i="17"/>
  <c r="B30" i="17"/>
  <c r="AD29" i="17"/>
  <c r="AA29" i="17"/>
  <c r="X29" i="17"/>
  <c r="U29" i="17"/>
  <c r="R29" i="17"/>
  <c r="O29" i="17"/>
  <c r="L29" i="17"/>
  <c r="I29" i="17"/>
  <c r="F29" i="17"/>
  <c r="A29" i="17"/>
  <c r="AG28" i="17"/>
  <c r="AH28" i="17"/>
  <c r="AI28" i="17"/>
  <c r="AJ28" i="17"/>
  <c r="AK28" i="17"/>
  <c r="AL28" i="17"/>
  <c r="AM28" i="17"/>
  <c r="AN28" i="17"/>
  <c r="AO28" i="17"/>
  <c r="AP28" i="17"/>
  <c r="AQ28" i="17"/>
  <c r="AF28" i="17"/>
  <c r="AD28" i="17"/>
  <c r="AA28" i="17"/>
  <c r="X28" i="17"/>
  <c r="U28" i="17"/>
  <c r="R28" i="17"/>
  <c r="O28" i="17"/>
  <c r="L28" i="17"/>
  <c r="I28" i="17"/>
  <c r="F28" i="17"/>
  <c r="A28" i="17"/>
  <c r="AG27" i="17"/>
  <c r="AH27" i="17"/>
  <c r="AI27" i="17"/>
  <c r="AJ27" i="17"/>
  <c r="AK27" i="17"/>
  <c r="AL27" i="17"/>
  <c r="AM27" i="17"/>
  <c r="AN27" i="17"/>
  <c r="AO27" i="17"/>
  <c r="AP27" i="17"/>
  <c r="AQ27" i="17"/>
  <c r="AF27" i="17"/>
  <c r="AD27" i="17"/>
  <c r="AA27" i="17"/>
  <c r="X27" i="17"/>
  <c r="U27" i="17"/>
  <c r="R27" i="17"/>
  <c r="O27" i="17"/>
  <c r="L27" i="17"/>
  <c r="I27" i="17"/>
  <c r="F27" i="17"/>
  <c r="A27" i="17"/>
  <c r="AG26" i="17"/>
  <c r="AH26" i="17"/>
  <c r="AI26" i="17"/>
  <c r="AJ26" i="17"/>
  <c r="AK26" i="17"/>
  <c r="AL26" i="17"/>
  <c r="AM26" i="17"/>
  <c r="AN26" i="17"/>
  <c r="AO26" i="17"/>
  <c r="AP26" i="17"/>
  <c r="AQ26" i="17"/>
  <c r="AF26" i="17"/>
  <c r="AD26" i="17"/>
  <c r="AA26" i="17"/>
  <c r="X26" i="17"/>
  <c r="U26" i="17"/>
  <c r="R26" i="17"/>
  <c r="O26" i="17"/>
  <c r="L26" i="17"/>
  <c r="I26" i="17"/>
  <c r="F26" i="17"/>
  <c r="A26" i="17"/>
  <c r="AG25" i="17"/>
  <c r="AH25" i="17"/>
  <c r="AI25" i="17"/>
  <c r="AJ25" i="17"/>
  <c r="AK25" i="17"/>
  <c r="AL25" i="17"/>
  <c r="AM25" i="17"/>
  <c r="AN25" i="17"/>
  <c r="AO25" i="17"/>
  <c r="AP25" i="17"/>
  <c r="AQ25" i="17"/>
  <c r="AF25" i="17"/>
  <c r="AD25" i="17"/>
  <c r="AA25" i="17"/>
  <c r="X25" i="17"/>
  <c r="U25" i="17"/>
  <c r="R25" i="17"/>
  <c r="O25" i="17"/>
  <c r="L25" i="17"/>
  <c r="I25" i="17"/>
  <c r="F25" i="17"/>
  <c r="AG24" i="17"/>
  <c r="AH24" i="17"/>
  <c r="AI24" i="17"/>
  <c r="AJ24" i="17"/>
  <c r="AK24" i="17"/>
  <c r="AL24" i="17"/>
  <c r="AM24" i="17"/>
  <c r="AN24" i="17"/>
  <c r="AO24" i="17"/>
  <c r="AP24" i="17"/>
  <c r="AQ24" i="17"/>
  <c r="AF24" i="17"/>
  <c r="AD24" i="17"/>
  <c r="AA24" i="17"/>
  <c r="X24" i="17"/>
  <c r="U24" i="17"/>
  <c r="R24" i="17"/>
  <c r="O24" i="17"/>
  <c r="L24" i="17"/>
  <c r="I24" i="17"/>
  <c r="F24" i="17"/>
  <c r="AC22" i="17"/>
  <c r="Z22" i="17"/>
  <c r="W22" i="17"/>
  <c r="T22" i="17"/>
  <c r="Q22" i="17"/>
  <c r="N22" i="17"/>
  <c r="K22" i="17"/>
  <c r="H22" i="17"/>
  <c r="E22" i="17"/>
  <c r="E17" i="17"/>
  <c r="AC16" i="17"/>
  <c r="Z16" i="17"/>
  <c r="W16" i="17"/>
  <c r="R16" i="17"/>
  <c r="L16" i="17"/>
  <c r="A16" i="17"/>
  <c r="E15" i="17"/>
  <c r="AY14" i="17"/>
  <c r="AC14" i="17"/>
  <c r="Z14" i="17"/>
  <c r="W14" i="17"/>
  <c r="R14" i="17"/>
  <c r="L14" i="17"/>
  <c r="A14" i="17"/>
  <c r="E13" i="17"/>
  <c r="AC12" i="17"/>
  <c r="Z12" i="17"/>
  <c r="W12" i="17"/>
  <c r="R12" i="17"/>
  <c r="L12" i="17"/>
  <c r="A12" i="17"/>
  <c r="E11" i="17"/>
  <c r="AC10" i="17"/>
  <c r="Z10" i="17"/>
  <c r="W10" i="17"/>
  <c r="R10" i="17"/>
  <c r="L10" i="17"/>
  <c r="A10" i="17"/>
  <c r="E9" i="17"/>
  <c r="AC8" i="17"/>
  <c r="Z8" i="17"/>
  <c r="W8" i="17"/>
  <c r="R8" i="17"/>
  <c r="L8" i="17"/>
  <c r="A8" i="17"/>
  <c r="R7" i="17"/>
  <c r="L7" i="17"/>
  <c r="K6" i="17"/>
  <c r="C190" i="41" l="1"/>
  <c r="C146" i="41"/>
  <c r="C147" i="41" s="1"/>
  <c r="D147" i="41" s="1"/>
  <c r="C45" i="41"/>
  <c r="D137" i="40"/>
  <c r="C138" i="40"/>
  <c r="D289" i="40"/>
  <c r="C290" i="40"/>
  <c r="C346" i="40"/>
  <c r="C6" i="40"/>
  <c r="D285" i="40"/>
  <c r="D134" i="40"/>
  <c r="D135" i="40" s="1"/>
  <c r="D136" i="40" s="1"/>
  <c r="C68" i="40"/>
  <c r="D216" i="40"/>
  <c r="C217" i="40"/>
  <c r="D133" i="40"/>
  <c r="D66" i="40"/>
  <c r="C12" i="40"/>
  <c r="D392" i="40"/>
  <c r="C393" i="40"/>
  <c r="D10" i="40"/>
  <c r="D4" i="40"/>
  <c r="D256" i="17"/>
  <c r="D257" i="17" s="1"/>
  <c r="D250" i="17" s="1"/>
  <c r="E255" i="17" s="1"/>
  <c r="E256" i="17" s="1"/>
  <c r="E257" i="17" s="1"/>
  <c r="G250" i="17" s="1"/>
  <c r="J250" i="17" s="1"/>
  <c r="M250" i="17" s="1"/>
  <c r="P250" i="17" s="1"/>
  <c r="S250" i="17" s="1"/>
  <c r="V250" i="17" s="1"/>
  <c r="Y250" i="17" s="1"/>
  <c r="AB250" i="17" s="1"/>
  <c r="AE250" i="17" s="1"/>
  <c r="AU250" i="17" s="1"/>
  <c r="AX6" i="17" s="1"/>
  <c r="M171" i="17"/>
  <c r="M172" i="17" s="1"/>
  <c r="T86" i="18"/>
  <c r="T87" i="18" s="1"/>
  <c r="S86" i="17"/>
  <c r="N86" i="17"/>
  <c r="N87" i="17" s="1"/>
  <c r="AB86" i="17"/>
  <c r="AB87" i="17" s="1"/>
  <c r="N86" i="18"/>
  <c r="W256" i="19"/>
  <c r="K171" i="17"/>
  <c r="K172" i="17" s="1"/>
  <c r="W171" i="17"/>
  <c r="P256" i="17"/>
  <c r="K171" i="19"/>
  <c r="AE256" i="17"/>
  <c r="AE257" i="17" s="1"/>
  <c r="B86" i="17"/>
  <c r="AE171" i="17"/>
  <c r="AE172" i="17" s="1"/>
  <c r="P171" i="17"/>
  <c r="P172" i="17" s="1"/>
  <c r="Q171" i="19"/>
  <c r="P86" i="17"/>
  <c r="P87" i="17" s="1"/>
  <c r="V86" i="17"/>
  <c r="V87" i="17" s="1"/>
  <c r="T257" i="17"/>
  <c r="Y86" i="17"/>
  <c r="Y87" i="17" s="1"/>
  <c r="AB171" i="17"/>
  <c r="AB172" i="17" s="1"/>
  <c r="AW13" i="18"/>
  <c r="AY13" i="17"/>
  <c r="K257" i="17"/>
  <c r="M86" i="17"/>
  <c r="M87" i="17" s="1"/>
  <c r="Q87" i="17"/>
  <c r="M256" i="17"/>
  <c r="M257" i="17" s="1"/>
  <c r="AW12" i="18"/>
  <c r="AY12" i="17"/>
  <c r="S171" i="17"/>
  <c r="S172" i="17" s="1"/>
  <c r="AE86" i="17"/>
  <c r="AE87" i="17" s="1"/>
  <c r="S256" i="17"/>
  <c r="S257" i="17" s="1"/>
  <c r="V257" i="17"/>
  <c r="AB257" i="17"/>
  <c r="Z86" i="17"/>
  <c r="Z87" i="17" s="1"/>
  <c r="AC86" i="17"/>
  <c r="AC87" i="17" s="1"/>
  <c r="W257" i="17"/>
  <c r="Z257" i="17"/>
  <c r="B256" i="17"/>
  <c r="B257" i="17" s="1"/>
  <c r="D249" i="17" s="1"/>
  <c r="G249" i="17" s="1"/>
  <c r="H255" i="17" s="1"/>
  <c r="D171" i="17"/>
  <c r="D172" i="17" s="1"/>
  <c r="D165" i="17" s="1"/>
  <c r="E170" i="17" s="1"/>
  <c r="D86" i="17"/>
  <c r="D87" i="17" s="1"/>
  <c r="D80" i="17" s="1"/>
  <c r="E85" i="17" s="1"/>
  <c r="G86" i="17" s="1"/>
  <c r="G87" i="17" s="1"/>
  <c r="G81" i="17" s="1"/>
  <c r="J85" i="17" s="1"/>
  <c r="G256" i="17"/>
  <c r="G257" i="17" s="1"/>
  <c r="G251" i="17" s="1"/>
  <c r="J255" i="17" s="1"/>
  <c r="S87" i="17"/>
  <c r="B171" i="17"/>
  <c r="B172" i="17" s="1"/>
  <c r="D164" i="17" s="1"/>
  <c r="G164" i="17" s="1"/>
  <c r="H170" i="17" s="1"/>
  <c r="W172" i="17"/>
  <c r="B87" i="17"/>
  <c r="D79" i="17" s="1"/>
  <c r="G79" i="17" s="1"/>
  <c r="H85" i="17" s="1"/>
  <c r="V171" i="17"/>
  <c r="V172" i="17" s="1"/>
  <c r="P257" i="17"/>
  <c r="K86" i="17"/>
  <c r="K87" i="17" s="1"/>
  <c r="W86" i="17"/>
  <c r="W87" i="17" s="1"/>
  <c r="N171" i="17"/>
  <c r="N172" i="17" s="1"/>
  <c r="Z171" i="17"/>
  <c r="Z172" i="17" s="1"/>
  <c r="Q256" i="17"/>
  <c r="Q257" i="17" s="1"/>
  <c r="AC256" i="17"/>
  <c r="AC257" i="17" s="1"/>
  <c r="AB256" i="18"/>
  <c r="AB257" i="18" s="1"/>
  <c r="T207" i="31"/>
  <c r="T217" i="31" s="1"/>
  <c r="AR194" i="31"/>
  <c r="X178" i="31" s="1"/>
  <c r="O207" i="31"/>
  <c r="O217" i="31" s="1"/>
  <c r="T218" i="31"/>
  <c r="J218" i="31"/>
  <c r="AR195" i="31"/>
  <c r="X180" i="31" s="1"/>
  <c r="R122" i="31"/>
  <c r="AR110" i="31"/>
  <c r="X95" i="31" s="1"/>
  <c r="P156" i="31"/>
  <c r="O159" i="31" s="1"/>
  <c r="AR112" i="31"/>
  <c r="X99" i="31" s="1"/>
  <c r="L122" i="31"/>
  <c r="J122" i="31"/>
  <c r="J134" i="31" s="1"/>
  <c r="AH153" i="31"/>
  <c r="D122" i="31"/>
  <c r="D133" i="31" s="1"/>
  <c r="R37" i="31"/>
  <c r="AG65" i="31"/>
  <c r="AR27" i="31"/>
  <c r="X14" i="31" s="1"/>
  <c r="E37" i="31"/>
  <c r="AR24" i="31"/>
  <c r="X8" i="31" s="1"/>
  <c r="B37" i="31"/>
  <c r="AR26" i="31"/>
  <c r="X12" i="31" s="1"/>
  <c r="Z207" i="31"/>
  <c r="Z220" i="31" s="1"/>
  <c r="AG220" i="31" s="1"/>
  <c r="M186" i="31" s="1"/>
  <c r="L207" i="31"/>
  <c r="AG236" i="31"/>
  <c r="Q207" i="31"/>
  <c r="Q218" i="31" s="1"/>
  <c r="AG151" i="31"/>
  <c r="O122" i="31"/>
  <c r="O133" i="31" s="1"/>
  <c r="AC122" i="31"/>
  <c r="U171" i="31"/>
  <c r="U172" i="31" s="1"/>
  <c r="AG150" i="31"/>
  <c r="W171" i="31"/>
  <c r="W172" i="31" s="1"/>
  <c r="L58" i="31"/>
  <c r="AH50" i="31"/>
  <c r="S16" i="31" s="1"/>
  <c r="R72" i="31"/>
  <c r="T73" i="31"/>
  <c r="G75" i="31"/>
  <c r="E72" i="31"/>
  <c r="AE37" i="31"/>
  <c r="M71" i="31"/>
  <c r="L72" i="31" s="1"/>
  <c r="H44" i="31"/>
  <c r="J61" i="31" s="1"/>
  <c r="AG66" i="31"/>
  <c r="U37" i="31"/>
  <c r="J37" i="31"/>
  <c r="J49" i="31" s="1"/>
  <c r="Z86" i="31"/>
  <c r="Z87" i="31" s="1"/>
  <c r="P71" i="31"/>
  <c r="Q75" i="31" s="1"/>
  <c r="AH68" i="31"/>
  <c r="AR196" i="30"/>
  <c r="X182" i="30" s="1"/>
  <c r="AG236" i="30"/>
  <c r="N207" i="30"/>
  <c r="N217" i="30" s="1"/>
  <c r="AR194" i="30"/>
  <c r="X178" i="30" s="1"/>
  <c r="G207" i="30"/>
  <c r="G218" i="30" s="1"/>
  <c r="C241" i="30"/>
  <c r="B214" i="30"/>
  <c r="AH135" i="30"/>
  <c r="S101" i="30" s="1"/>
  <c r="R122" i="30"/>
  <c r="AR109" i="30"/>
  <c r="X93" i="30" s="1"/>
  <c r="L122" i="30"/>
  <c r="AG151" i="30"/>
  <c r="M156" i="30"/>
  <c r="N159" i="30" s="1"/>
  <c r="AH153" i="30"/>
  <c r="J122" i="30"/>
  <c r="J134" i="30" s="1"/>
  <c r="T37" i="30"/>
  <c r="T47" i="30" s="1"/>
  <c r="AR27" i="30"/>
  <c r="X14" i="30" s="1"/>
  <c r="N37" i="30"/>
  <c r="N48" i="30" s="1"/>
  <c r="AH50" i="30"/>
  <c r="S16" i="30" s="1"/>
  <c r="I71" i="30"/>
  <c r="H37" i="30" s="1"/>
  <c r="H44" i="30"/>
  <c r="I241" i="30"/>
  <c r="J244" i="30" s="1"/>
  <c r="Q207" i="30"/>
  <c r="Q218" i="30" s="1"/>
  <c r="D207" i="30"/>
  <c r="D217" i="30" s="1"/>
  <c r="X207" i="30"/>
  <c r="T207" i="30"/>
  <c r="T218" i="30" s="1"/>
  <c r="E122" i="30"/>
  <c r="E131" i="30" s="1"/>
  <c r="O37" i="30"/>
  <c r="O48" i="30" s="1"/>
  <c r="AG48" i="30" s="1"/>
  <c r="M12" i="30" s="1"/>
  <c r="Z86" i="30"/>
  <c r="Z87" i="30" s="1"/>
  <c r="AG67" i="30"/>
  <c r="O243" i="31"/>
  <c r="Q244" i="31"/>
  <c r="O60" i="31"/>
  <c r="Q61" i="31"/>
  <c r="AD228" i="31"/>
  <c r="AF229" i="31"/>
  <c r="N145" i="31"/>
  <c r="L143" i="31"/>
  <c r="D60" i="31"/>
  <c r="B59" i="31"/>
  <c r="G160" i="31"/>
  <c r="E157" i="31"/>
  <c r="O145" i="31"/>
  <c r="Q146" i="31"/>
  <c r="X228" i="31"/>
  <c r="Z232" i="31"/>
  <c r="AG232" i="31" s="1"/>
  <c r="AA186" i="31" s="1"/>
  <c r="R157" i="31"/>
  <c r="T158" i="31"/>
  <c r="H322" i="31"/>
  <c r="H324" i="31" s="1"/>
  <c r="F284" i="31"/>
  <c r="C241" i="31"/>
  <c r="AT319" i="31"/>
  <c r="J322" i="31"/>
  <c r="J324" i="31" s="1"/>
  <c r="F294" i="31"/>
  <c r="E214" i="31"/>
  <c r="AA122" i="31"/>
  <c r="AB122" i="31" s="1"/>
  <c r="E46" i="31"/>
  <c r="H37" i="31"/>
  <c r="Z37" i="31"/>
  <c r="Y37" i="31" s="1"/>
  <c r="C71" i="31"/>
  <c r="C367" i="31"/>
  <c r="D367" i="31" s="1"/>
  <c r="E370" i="31" s="1"/>
  <c r="E372" i="31" s="1"/>
  <c r="G367" i="31" s="1"/>
  <c r="J367" i="31" s="1"/>
  <c r="AU366" i="31" s="1"/>
  <c r="AT366" i="31"/>
  <c r="R131" i="31"/>
  <c r="AD216" i="31"/>
  <c r="O214" i="31"/>
  <c r="N159" i="31"/>
  <c r="L157" i="31"/>
  <c r="AC171" i="31"/>
  <c r="AC172" i="31" s="1"/>
  <c r="H59" i="31"/>
  <c r="AF172" i="31"/>
  <c r="N37" i="31"/>
  <c r="N48" i="31" s="1"/>
  <c r="K314" i="31"/>
  <c r="J289" i="31" s="1"/>
  <c r="H214" i="31"/>
  <c r="J229" i="31" s="1"/>
  <c r="E131" i="31"/>
  <c r="AT317" i="31"/>
  <c r="C318" i="31"/>
  <c r="B322" i="31" s="1"/>
  <c r="B324" i="31" s="1"/>
  <c r="D318" i="31" s="1"/>
  <c r="G318" i="31" s="1"/>
  <c r="J318" i="31" s="1"/>
  <c r="AU317" i="31" s="1"/>
  <c r="R207" i="31"/>
  <c r="P207" i="31"/>
  <c r="H129" i="31"/>
  <c r="N207" i="31"/>
  <c r="M207" i="31" s="1"/>
  <c r="N224" i="31" s="1"/>
  <c r="D207" i="31"/>
  <c r="AD294" i="31"/>
  <c r="AF322" i="31"/>
  <c r="AF324" i="31" s="1"/>
  <c r="U217" i="31"/>
  <c r="F342" i="31"/>
  <c r="J370" i="31"/>
  <c r="J372" i="31" s="1"/>
  <c r="Q122" i="31"/>
  <c r="Q134" i="31" s="1"/>
  <c r="AD284" i="31"/>
  <c r="AD322" i="31"/>
  <c r="AD324" i="31" s="1"/>
  <c r="E207" i="31"/>
  <c r="L214" i="31"/>
  <c r="N230" i="31" s="1"/>
  <c r="AC225" i="31"/>
  <c r="AG225" i="31" s="1"/>
  <c r="AH219" i="31" s="1"/>
  <c r="S184" i="31" s="1"/>
  <c r="AA224" i="31"/>
  <c r="AG152" i="31"/>
  <c r="X171" i="31"/>
  <c r="X172" i="31" s="1"/>
  <c r="W37" i="31"/>
  <c r="V37" i="31" s="1"/>
  <c r="AG149" i="31"/>
  <c r="AG64" i="31"/>
  <c r="AA244" i="31"/>
  <c r="AC245" i="31"/>
  <c r="H207" i="31"/>
  <c r="G244" i="31"/>
  <c r="E243" i="31"/>
  <c r="X242" i="31"/>
  <c r="Z246" i="31"/>
  <c r="I241" i="31"/>
  <c r="J243" i="31" s="1"/>
  <c r="L131" i="31"/>
  <c r="AD171" i="31"/>
  <c r="AD172" i="31" s="1"/>
  <c r="X207" i="31"/>
  <c r="R129" i="31"/>
  <c r="T122" i="31"/>
  <c r="T132" i="31" s="1"/>
  <c r="AA37" i="31"/>
  <c r="H158" i="31"/>
  <c r="J160" i="31"/>
  <c r="C156" i="31"/>
  <c r="B122" i="31" s="1"/>
  <c r="W86" i="31"/>
  <c r="W87" i="31" s="1"/>
  <c r="U87" i="31"/>
  <c r="AA214" i="31"/>
  <c r="U214" i="31"/>
  <c r="U243" i="31"/>
  <c r="W244" i="31"/>
  <c r="L242" i="31"/>
  <c r="N243" i="31"/>
  <c r="J369" i="31"/>
  <c r="AU368" i="31" s="1"/>
  <c r="L216" i="31"/>
  <c r="G146" i="31"/>
  <c r="E143" i="31"/>
  <c r="AD122" i="31"/>
  <c r="AE122" i="31" s="1"/>
  <c r="Z122" i="31"/>
  <c r="Y122" i="31" s="1"/>
  <c r="R58" i="31"/>
  <c r="T59" i="31"/>
  <c r="AA86" i="31"/>
  <c r="AA87" i="31" s="1"/>
  <c r="AC37" i="31"/>
  <c r="AG314" i="31"/>
  <c r="AH289" i="31" s="1"/>
  <c r="R214" i="31"/>
  <c r="T229" i="31" s="1"/>
  <c r="C368" i="31"/>
  <c r="D368" i="31" s="1"/>
  <c r="G370" i="31" s="1"/>
  <c r="G372" i="31" s="1"/>
  <c r="G368" i="31" s="1"/>
  <c r="J368" i="31" s="1"/>
  <c r="AU367" i="31" s="1"/>
  <c r="AT367" i="31"/>
  <c r="AD242" i="31"/>
  <c r="AF243" i="31"/>
  <c r="U122" i="31"/>
  <c r="V122" i="31" s="1"/>
  <c r="AA171" i="31"/>
  <c r="AA172" i="31" s="1"/>
  <c r="B47" i="31"/>
  <c r="G61" i="31"/>
  <c r="E58" i="31"/>
  <c r="T37" i="31"/>
  <c r="T47" i="31" s="1"/>
  <c r="Q37" i="31"/>
  <c r="Q49" i="31" s="1"/>
  <c r="X86" i="31"/>
  <c r="X87" i="31" s="1"/>
  <c r="W207" i="31"/>
  <c r="W218" i="31" s="1"/>
  <c r="AF207" i="31"/>
  <c r="AF217" i="31" s="1"/>
  <c r="B214" i="31"/>
  <c r="C319" i="31"/>
  <c r="D319" i="31" s="1"/>
  <c r="E322" i="31" s="1"/>
  <c r="E324" i="31" s="1"/>
  <c r="G319" i="31" s="1"/>
  <c r="J319" i="31" s="1"/>
  <c r="AU318" i="31" s="1"/>
  <c r="AT318" i="31"/>
  <c r="T244" i="31"/>
  <c r="R242" i="31"/>
  <c r="H122" i="31"/>
  <c r="R46" i="31"/>
  <c r="G122" i="31"/>
  <c r="G134" i="31" s="1"/>
  <c r="AG134" i="31" s="1"/>
  <c r="M99" i="31" s="1"/>
  <c r="Z171" i="31"/>
  <c r="Z172" i="31" s="1"/>
  <c r="N122" i="31"/>
  <c r="N133" i="31" s="1"/>
  <c r="G37" i="31"/>
  <c r="G49" i="31" s="1"/>
  <c r="D37" i="31"/>
  <c r="D48" i="31" s="1"/>
  <c r="H73" i="31"/>
  <c r="J75" i="31"/>
  <c r="G61" i="30"/>
  <c r="E58" i="30"/>
  <c r="R72" i="30"/>
  <c r="T73" i="30"/>
  <c r="B59" i="30"/>
  <c r="D60" i="30"/>
  <c r="L58" i="30"/>
  <c r="N60" i="30"/>
  <c r="J75" i="30"/>
  <c r="H73" i="30"/>
  <c r="O145" i="30"/>
  <c r="Q146" i="30"/>
  <c r="AA244" i="30"/>
  <c r="AC245" i="30"/>
  <c r="D145" i="30"/>
  <c r="B144" i="30"/>
  <c r="O159" i="30"/>
  <c r="Q160" i="30"/>
  <c r="G171" i="30"/>
  <c r="G172" i="30" s="1"/>
  <c r="G167" i="30" s="1"/>
  <c r="J170" i="30" s="1"/>
  <c r="I271" i="30"/>
  <c r="I270" i="30"/>
  <c r="I269" i="30"/>
  <c r="B271" i="30"/>
  <c r="B270" i="30"/>
  <c r="B269" i="30"/>
  <c r="AT366" i="30"/>
  <c r="D256" i="30"/>
  <c r="D257" i="30" s="1"/>
  <c r="J322" i="30"/>
  <c r="J324" i="30" s="1"/>
  <c r="F294" i="30"/>
  <c r="AD242" i="30"/>
  <c r="AF243" i="30"/>
  <c r="R129" i="30"/>
  <c r="J230" i="30"/>
  <c r="H228" i="30"/>
  <c r="U171" i="30"/>
  <c r="U172" i="30" s="1"/>
  <c r="G37" i="30"/>
  <c r="G49" i="30" s="1"/>
  <c r="R37" i="30"/>
  <c r="AD86" i="30"/>
  <c r="AD87" i="30" s="1"/>
  <c r="AC122" i="30"/>
  <c r="AB122" i="30" s="1"/>
  <c r="Z37" i="30"/>
  <c r="N74" i="30"/>
  <c r="L72" i="30"/>
  <c r="B86" i="30"/>
  <c r="B87" i="30" s="1"/>
  <c r="U217" i="30"/>
  <c r="V207" i="30"/>
  <c r="G244" i="30"/>
  <c r="E243" i="30"/>
  <c r="U243" i="30"/>
  <c r="W244" i="30"/>
  <c r="AT367" i="30"/>
  <c r="AD214" i="30"/>
  <c r="E129" i="30"/>
  <c r="W207" i="30"/>
  <c r="W218" i="30" s="1"/>
  <c r="N145" i="30"/>
  <c r="L143" i="30"/>
  <c r="E46" i="30"/>
  <c r="Q122" i="30"/>
  <c r="Q134" i="30" s="1"/>
  <c r="U44" i="30"/>
  <c r="AD294" i="30"/>
  <c r="AF322" i="30"/>
  <c r="AF324" i="30" s="1"/>
  <c r="H216" i="30"/>
  <c r="R214" i="30"/>
  <c r="B256" i="30"/>
  <c r="B257" i="30" s="1"/>
  <c r="L157" i="30"/>
  <c r="L214" i="30"/>
  <c r="U122" i="30"/>
  <c r="V122" i="30" s="1"/>
  <c r="J207" i="30"/>
  <c r="J218" i="30" s="1"/>
  <c r="AA171" i="30"/>
  <c r="AA172" i="30" s="1"/>
  <c r="T122" i="30"/>
  <c r="T132" i="30" s="1"/>
  <c r="D122" i="30"/>
  <c r="D133" i="30" s="1"/>
  <c r="X171" i="30"/>
  <c r="X172" i="30" s="1"/>
  <c r="J61" i="30"/>
  <c r="H59" i="30"/>
  <c r="G86" i="30"/>
  <c r="G87" i="30" s="1"/>
  <c r="AC37" i="30"/>
  <c r="AB37" i="30" s="1"/>
  <c r="AA230" i="30"/>
  <c r="AC231" i="30"/>
  <c r="AG231" i="30" s="1"/>
  <c r="AA184" i="30" s="1"/>
  <c r="AT319" i="30"/>
  <c r="E214" i="30"/>
  <c r="D229" i="30"/>
  <c r="B228" i="30"/>
  <c r="O207" i="30"/>
  <c r="H129" i="30"/>
  <c r="Z207" i="30"/>
  <c r="Z220" i="30" s="1"/>
  <c r="AG220" i="30" s="1"/>
  <c r="M186" i="30" s="1"/>
  <c r="H122" i="30"/>
  <c r="G122" i="30"/>
  <c r="G134" i="30" s="1"/>
  <c r="B171" i="30"/>
  <c r="B172" i="30" s="1"/>
  <c r="E86" i="30"/>
  <c r="E87" i="30" s="1"/>
  <c r="D171" i="30"/>
  <c r="D172" i="30" s="1"/>
  <c r="Q37" i="30"/>
  <c r="Q49" i="30" s="1"/>
  <c r="B37" i="30"/>
  <c r="X37" i="30"/>
  <c r="Y37" i="30" s="1"/>
  <c r="AG64" i="30"/>
  <c r="AD207" i="30"/>
  <c r="J369" i="30"/>
  <c r="AU368" i="30" s="1"/>
  <c r="B207" i="30"/>
  <c r="AC171" i="30"/>
  <c r="AC172" i="30" s="1"/>
  <c r="K362" i="30"/>
  <c r="J337" i="30" s="1"/>
  <c r="E171" i="30"/>
  <c r="E172" i="30" s="1"/>
  <c r="G164" i="30" s="1"/>
  <c r="J164" i="30" s="1"/>
  <c r="L170" i="30" s="1"/>
  <c r="Z122" i="30"/>
  <c r="Y122" i="30" s="1"/>
  <c r="C156" i="30"/>
  <c r="B122" i="30" s="1"/>
  <c r="B132" i="30" s="1"/>
  <c r="AA207" i="30"/>
  <c r="H158" i="30"/>
  <c r="J160" i="30"/>
  <c r="L37" i="30"/>
  <c r="AD37" i="30"/>
  <c r="D86" i="30"/>
  <c r="D87" i="30" s="1"/>
  <c r="AT317" i="30"/>
  <c r="R207" i="30"/>
  <c r="O133" i="30"/>
  <c r="H242" i="30"/>
  <c r="L131" i="30"/>
  <c r="O243" i="30"/>
  <c r="Q244" i="30"/>
  <c r="X228" i="30"/>
  <c r="Z232" i="30"/>
  <c r="AG232" i="30" s="1"/>
  <c r="AA186" i="30" s="1"/>
  <c r="N122" i="30"/>
  <c r="N133" i="30" s="1"/>
  <c r="Z171" i="30"/>
  <c r="Z172" i="30" s="1"/>
  <c r="O74" i="30"/>
  <c r="Q75" i="30"/>
  <c r="AC86" i="30"/>
  <c r="AC87" i="30" s="1"/>
  <c r="AA86" i="30"/>
  <c r="AA87" i="30" s="1"/>
  <c r="R58" i="30"/>
  <c r="T59" i="30"/>
  <c r="AH270" i="30"/>
  <c r="AH269" i="30"/>
  <c r="AN270" i="30"/>
  <c r="AN269" i="30"/>
  <c r="D243" i="30"/>
  <c r="B242" i="30"/>
  <c r="E207" i="30"/>
  <c r="O229" i="30"/>
  <c r="Q230" i="30"/>
  <c r="X216" i="30"/>
  <c r="Y207" i="30"/>
  <c r="AG149" i="30"/>
  <c r="W171" i="30"/>
  <c r="W172" i="30" s="1"/>
  <c r="AF37" i="30"/>
  <c r="AF87" i="30"/>
  <c r="G75" i="30"/>
  <c r="E72" i="30"/>
  <c r="AH68" i="30"/>
  <c r="AD16" i="30"/>
  <c r="B73" i="30"/>
  <c r="D74" i="30"/>
  <c r="T271" i="30"/>
  <c r="AH302" i="30" s="1"/>
  <c r="T270" i="30"/>
  <c r="AH301" i="30" s="1"/>
  <c r="T269" i="30"/>
  <c r="K304" i="30" s="1"/>
  <c r="M271" i="30"/>
  <c r="Y302" i="30" s="1"/>
  <c r="M270" i="30"/>
  <c r="Y301" i="30" s="1"/>
  <c r="M269" i="30"/>
  <c r="B304" i="30" s="1"/>
  <c r="AF271" i="30"/>
  <c r="K349" i="30" s="1"/>
  <c r="AF270" i="30"/>
  <c r="AH304" i="30" s="1"/>
  <c r="AF269" i="30"/>
  <c r="AH303" i="30" s="1"/>
  <c r="X271" i="30"/>
  <c r="B349" i="30" s="1"/>
  <c r="X270" i="30"/>
  <c r="Y304" i="30" s="1"/>
  <c r="X269" i="30"/>
  <c r="Y303" i="30" s="1"/>
  <c r="H322" i="30"/>
  <c r="H324" i="30" s="1"/>
  <c r="F284" i="30"/>
  <c r="W230" i="30"/>
  <c r="U229" i="30"/>
  <c r="R131" i="30"/>
  <c r="S122" i="30"/>
  <c r="AD284" i="30"/>
  <c r="AD322" i="30"/>
  <c r="AD324" i="30" s="1"/>
  <c r="X242" i="30"/>
  <c r="Z246" i="30"/>
  <c r="F342" i="30"/>
  <c r="J370" i="30"/>
  <c r="J372" i="30" s="1"/>
  <c r="K314" i="30"/>
  <c r="J289" i="30" s="1"/>
  <c r="AT318" i="30"/>
  <c r="L207" i="30"/>
  <c r="O60" i="30"/>
  <c r="Q61" i="30"/>
  <c r="AG65" i="30"/>
  <c r="AB86" i="19"/>
  <c r="AB87" i="19" s="1"/>
  <c r="N171" i="19"/>
  <c r="N172" i="19" s="1"/>
  <c r="V86" i="19"/>
  <c r="V87" i="19" s="1"/>
  <c r="W86" i="18"/>
  <c r="W87" i="18" s="1"/>
  <c r="S256" i="18"/>
  <c r="S257" i="18" s="1"/>
  <c r="AE256" i="18"/>
  <c r="AE257" i="18" s="1"/>
  <c r="Y86" i="18"/>
  <c r="Y86" i="19"/>
  <c r="Y87" i="19" s="1"/>
  <c r="AB171" i="19"/>
  <c r="AB172" i="19" s="1"/>
  <c r="P256" i="19"/>
  <c r="W171" i="19"/>
  <c r="W172" i="19" s="1"/>
  <c r="M256" i="19"/>
  <c r="M257" i="19" s="1"/>
  <c r="T86" i="19"/>
  <c r="T87" i="19" s="1"/>
  <c r="AC86" i="19"/>
  <c r="AC87" i="19" s="1"/>
  <c r="V171" i="19"/>
  <c r="V172" i="19" s="1"/>
  <c r="S171" i="19"/>
  <c r="AT167" i="19"/>
  <c r="Y171" i="19"/>
  <c r="Y172" i="19" s="1"/>
  <c r="Z86" i="19"/>
  <c r="Z87" i="19" s="1"/>
  <c r="AE171" i="19"/>
  <c r="AE172" i="19" s="1"/>
  <c r="C167" i="18"/>
  <c r="D167" i="18" s="1"/>
  <c r="G167" i="18" s="1"/>
  <c r="J167" i="18" s="1"/>
  <c r="M167" i="18" s="1"/>
  <c r="P167" i="18" s="1"/>
  <c r="S167" i="18" s="1"/>
  <c r="V167" i="18" s="1"/>
  <c r="Y167" i="18" s="1"/>
  <c r="AB167" i="18" s="1"/>
  <c r="AE167" i="18" s="1"/>
  <c r="AU167" i="18" s="1"/>
  <c r="AX13" i="18" s="1"/>
  <c r="AT167" i="18"/>
  <c r="B251" i="19"/>
  <c r="M266" i="19"/>
  <c r="B264" i="19"/>
  <c r="B80" i="19"/>
  <c r="AT81" i="19"/>
  <c r="B165" i="19"/>
  <c r="X265" i="19"/>
  <c r="B265" i="19"/>
  <c r="B166" i="19"/>
  <c r="C252" i="18"/>
  <c r="D252" i="18" s="1"/>
  <c r="G252" i="18" s="1"/>
  <c r="J252" i="18" s="1"/>
  <c r="M252" i="18" s="1"/>
  <c r="P252" i="18" s="1"/>
  <c r="S252" i="18" s="1"/>
  <c r="V252" i="18" s="1"/>
  <c r="Y252" i="18" s="1"/>
  <c r="AB252" i="18" s="1"/>
  <c r="AE252" i="18" s="1"/>
  <c r="AU252" i="18" s="1"/>
  <c r="AX12" i="18" s="1"/>
  <c r="AT252" i="18"/>
  <c r="K256" i="19"/>
  <c r="K257" i="19" s="1"/>
  <c r="N256" i="19"/>
  <c r="N257" i="19" s="1"/>
  <c r="AB256" i="19"/>
  <c r="AB257" i="19" s="1"/>
  <c r="S86" i="19"/>
  <c r="S87" i="19" s="1"/>
  <c r="W86" i="19"/>
  <c r="W87" i="19" s="1"/>
  <c r="S171" i="18"/>
  <c r="K86" i="19"/>
  <c r="K87" i="19" s="1"/>
  <c r="N86" i="19"/>
  <c r="N87" i="19" s="1"/>
  <c r="Q86" i="19"/>
  <c r="Q87" i="19" s="1"/>
  <c r="Z171" i="19"/>
  <c r="Z172" i="19" s="1"/>
  <c r="AC171" i="19"/>
  <c r="AC172" i="19" s="1"/>
  <c r="AB86" i="18"/>
  <c r="AB87" i="18" s="1"/>
  <c r="P171" i="18"/>
  <c r="P172" i="18" s="1"/>
  <c r="AB171" i="18"/>
  <c r="M86" i="19"/>
  <c r="M87" i="19" s="1"/>
  <c r="P86" i="19"/>
  <c r="P87" i="19" s="1"/>
  <c r="Q172" i="19"/>
  <c r="T171" i="19"/>
  <c r="T172" i="19" s="1"/>
  <c r="K172" i="19"/>
  <c r="X264" i="19"/>
  <c r="Y171" i="18"/>
  <c r="Y172" i="18" s="1"/>
  <c r="AE86" i="19"/>
  <c r="AE87" i="19" s="1"/>
  <c r="M171" i="19"/>
  <c r="M172" i="19" s="1"/>
  <c r="P171" i="19"/>
  <c r="P172" i="19" s="1"/>
  <c r="S256" i="19"/>
  <c r="S257" i="19" s="1"/>
  <c r="V86" i="18"/>
  <c r="V87" i="18" s="1"/>
  <c r="V256" i="18"/>
  <c r="V257" i="18" s="1"/>
  <c r="P257" i="19"/>
  <c r="Q257" i="19"/>
  <c r="W257" i="19"/>
  <c r="Z257" i="19"/>
  <c r="AC256" i="19"/>
  <c r="AC257" i="19" s="1"/>
  <c r="Q171" i="18"/>
  <c r="V171" i="18"/>
  <c r="V172" i="18" s="1"/>
  <c r="K171" i="18"/>
  <c r="K172" i="18" s="1"/>
  <c r="N171" i="18"/>
  <c r="N172" i="18" s="1"/>
  <c r="AE86" i="18"/>
  <c r="AE87" i="18" s="1"/>
  <c r="S86" i="18"/>
  <c r="S87" i="18" s="1"/>
  <c r="Y87" i="18"/>
  <c r="Z86" i="18"/>
  <c r="Z87" i="18" s="1"/>
  <c r="AC86" i="18"/>
  <c r="AC87" i="18" s="1"/>
  <c r="T256" i="18"/>
  <c r="T257" i="18" s="1"/>
  <c r="W256" i="18"/>
  <c r="W257" i="18" s="1"/>
  <c r="Z256" i="18"/>
  <c r="Z257" i="18" s="1"/>
  <c r="AC256" i="18"/>
  <c r="AC257" i="18" s="1"/>
  <c r="K87" i="18"/>
  <c r="N87" i="18"/>
  <c r="K256" i="18"/>
  <c r="K257" i="18" s="1"/>
  <c r="N256" i="18"/>
  <c r="N257" i="18" s="1"/>
  <c r="Q256" i="18"/>
  <c r="Q257" i="18" s="1"/>
  <c r="M86" i="18"/>
  <c r="M87" i="18" s="1"/>
  <c r="P86" i="18"/>
  <c r="P87" i="18" s="1"/>
  <c r="AE171" i="18"/>
  <c r="AE172" i="18" s="1"/>
  <c r="M256" i="18"/>
  <c r="M257" i="18" s="1"/>
  <c r="P256" i="18"/>
  <c r="P257" i="18" s="1"/>
  <c r="AB172" i="18"/>
  <c r="M172" i="18"/>
  <c r="Q172" i="18"/>
  <c r="T171" i="18"/>
  <c r="T172" i="18" s="1"/>
  <c r="W171" i="18"/>
  <c r="W172" i="18" s="1"/>
  <c r="Z171" i="18"/>
  <c r="Z172" i="18" s="1"/>
  <c r="AC171" i="18"/>
  <c r="AC172" i="18" s="1"/>
  <c r="S172" i="19"/>
  <c r="S172" i="18"/>
  <c r="C138" i="25"/>
  <c r="D137" i="25"/>
  <c r="D395" i="25"/>
  <c r="C396" i="25"/>
  <c r="C354" i="25"/>
  <c r="C355" i="25" s="1"/>
  <c r="D353" i="25"/>
  <c r="D354" i="25" s="1"/>
  <c r="C290" i="25"/>
  <c r="D289" i="25"/>
  <c r="C5" i="25"/>
  <c r="C66" i="25"/>
  <c r="C215" i="25"/>
  <c r="D352" i="25"/>
  <c r="D10" i="25"/>
  <c r="C12" i="25"/>
  <c r="D146" i="41" l="1"/>
  <c r="C3" i="41"/>
  <c r="C4" i="41" s="1"/>
  <c r="D190" i="41"/>
  <c r="D45" i="41"/>
  <c r="C46" i="41"/>
  <c r="C252" i="41"/>
  <c r="C253" i="41" s="1"/>
  <c r="D253" i="41" s="1"/>
  <c r="D393" i="40"/>
  <c r="D394" i="40" s="1"/>
  <c r="C394" i="40"/>
  <c r="C395" i="40" s="1"/>
  <c r="D6" i="40"/>
  <c r="D7" i="40" s="1"/>
  <c r="D8" i="40" s="1"/>
  <c r="D9" i="40" s="1"/>
  <c r="C7" i="40"/>
  <c r="C8" i="40" s="1"/>
  <c r="C9" i="40" s="1"/>
  <c r="C347" i="40"/>
  <c r="C348" i="40" s="1"/>
  <c r="D346" i="40"/>
  <c r="D347" i="40" s="1"/>
  <c r="C13" i="40"/>
  <c r="D12" i="40"/>
  <c r="C291" i="40"/>
  <c r="D290" i="40"/>
  <c r="D217" i="40"/>
  <c r="D218" i="40" s="1"/>
  <c r="D219" i="40" s="1"/>
  <c r="D220" i="40" s="1"/>
  <c r="C218" i="40"/>
  <c r="C219" i="40" s="1"/>
  <c r="C220" i="40" s="1"/>
  <c r="C221" i="40" s="1"/>
  <c r="C139" i="40"/>
  <c r="D138" i="40"/>
  <c r="C69" i="40"/>
  <c r="D68" i="40"/>
  <c r="AW13" i="19"/>
  <c r="C167" i="19" s="1"/>
  <c r="D167" i="19" s="1"/>
  <c r="G167" i="19" s="1"/>
  <c r="J167" i="19" s="1"/>
  <c r="M167" i="19" s="1"/>
  <c r="P167" i="19" s="1"/>
  <c r="S167" i="19" s="1"/>
  <c r="V167" i="19" s="1"/>
  <c r="Y167" i="19" s="1"/>
  <c r="AB167" i="19" s="1"/>
  <c r="AE167" i="19" s="1"/>
  <c r="AU167" i="19" s="1"/>
  <c r="AY13" i="18"/>
  <c r="AW12" i="19"/>
  <c r="C252" i="19" s="1"/>
  <c r="D252" i="19" s="1"/>
  <c r="G252" i="19" s="1"/>
  <c r="J252" i="19" s="1"/>
  <c r="M252" i="19" s="1"/>
  <c r="P252" i="19" s="1"/>
  <c r="S252" i="19" s="1"/>
  <c r="V252" i="19" s="1"/>
  <c r="Y252" i="19" s="1"/>
  <c r="AB252" i="19" s="1"/>
  <c r="AE252" i="19" s="1"/>
  <c r="AU252" i="19" s="1"/>
  <c r="AY12" i="18"/>
  <c r="AW6" i="18"/>
  <c r="C165" i="18" s="1"/>
  <c r="D170" i="18" s="1"/>
  <c r="AY6" i="17"/>
  <c r="J256" i="17"/>
  <c r="J257" i="17" s="1"/>
  <c r="J251" i="17" s="1"/>
  <c r="M251" i="17" s="1"/>
  <c r="P251" i="17" s="1"/>
  <c r="S251" i="17" s="1"/>
  <c r="V251" i="17" s="1"/>
  <c r="Y251" i="17" s="1"/>
  <c r="AB251" i="17" s="1"/>
  <c r="AE251" i="17" s="1"/>
  <c r="AU251" i="17" s="1"/>
  <c r="AX11" i="17" s="1"/>
  <c r="E171" i="17"/>
  <c r="E172" i="17" s="1"/>
  <c r="G165" i="17" s="1"/>
  <c r="J165" i="17" s="1"/>
  <c r="M165" i="17" s="1"/>
  <c r="P165" i="17" s="1"/>
  <c r="S165" i="17" s="1"/>
  <c r="V165" i="17" s="1"/>
  <c r="Y165" i="17" s="1"/>
  <c r="AB165" i="17" s="1"/>
  <c r="AE165" i="17" s="1"/>
  <c r="AU165" i="17" s="1"/>
  <c r="AX7" i="17" s="1"/>
  <c r="G171" i="17"/>
  <c r="G172" i="17" s="1"/>
  <c r="G166" i="17" s="1"/>
  <c r="J170" i="17" s="1"/>
  <c r="H171" i="17" s="1"/>
  <c r="H172" i="17" s="1"/>
  <c r="J164" i="17" s="1"/>
  <c r="M164" i="17" s="1"/>
  <c r="P164" i="17" s="1"/>
  <c r="S164" i="17" s="1"/>
  <c r="V164" i="17" s="1"/>
  <c r="Y164" i="17" s="1"/>
  <c r="AB164" i="17" s="1"/>
  <c r="AE164" i="17" s="1"/>
  <c r="AU164" i="17" s="1"/>
  <c r="AX4" i="17" s="1"/>
  <c r="J86" i="17"/>
  <c r="J87" i="17" s="1"/>
  <c r="J81" i="17" s="1"/>
  <c r="M81" i="17" s="1"/>
  <c r="P81" i="17" s="1"/>
  <c r="S81" i="17" s="1"/>
  <c r="V81" i="17" s="1"/>
  <c r="Y81" i="17" s="1"/>
  <c r="AB81" i="17" s="1"/>
  <c r="AE81" i="17" s="1"/>
  <c r="AU81" i="17" s="1"/>
  <c r="AX9" i="17" s="1"/>
  <c r="H86" i="17"/>
  <c r="H87" i="17" s="1"/>
  <c r="J79" i="17" s="1"/>
  <c r="M79" i="17" s="1"/>
  <c r="P79" i="17" s="1"/>
  <c r="S79" i="17" s="1"/>
  <c r="V79" i="17" s="1"/>
  <c r="Y79" i="17" s="1"/>
  <c r="AB79" i="17" s="1"/>
  <c r="AE79" i="17" s="1"/>
  <c r="AU79" i="17" s="1"/>
  <c r="AX3" i="17" s="1"/>
  <c r="E86" i="17"/>
  <c r="E87" i="17"/>
  <c r="G80" i="17" s="1"/>
  <c r="J80" i="17" s="1"/>
  <c r="M80" i="17" s="1"/>
  <c r="P80" i="17" s="1"/>
  <c r="S80" i="17" s="1"/>
  <c r="V80" i="17" s="1"/>
  <c r="Y80" i="17" s="1"/>
  <c r="AB80" i="17" s="1"/>
  <c r="AE80" i="17" s="1"/>
  <c r="AU80" i="17" s="1"/>
  <c r="AX8" i="17" s="1"/>
  <c r="H256" i="17"/>
  <c r="H257" i="17" s="1"/>
  <c r="J249" i="17" s="1"/>
  <c r="M249" i="17" s="1"/>
  <c r="P249" i="17" s="1"/>
  <c r="S249" i="17" s="1"/>
  <c r="V249" i="17" s="1"/>
  <c r="Y249" i="17" s="1"/>
  <c r="AB249" i="17" s="1"/>
  <c r="AE249" i="17" s="1"/>
  <c r="AU249" i="17" s="1"/>
  <c r="AX5" i="17" s="1"/>
  <c r="J207" i="31"/>
  <c r="J217" i="31" s="1"/>
  <c r="N217" i="31"/>
  <c r="N218" i="31"/>
  <c r="B207" i="31"/>
  <c r="B216" i="31" s="1"/>
  <c r="D244" i="31"/>
  <c r="D217" i="31"/>
  <c r="D218" i="31"/>
  <c r="Q160" i="31"/>
  <c r="AG133" i="31"/>
  <c r="M97" i="31" s="1"/>
  <c r="M122" i="31"/>
  <c r="N139" i="31" s="1"/>
  <c r="O74" i="31"/>
  <c r="O37" i="31"/>
  <c r="O48" i="31" s="1"/>
  <c r="AG48" i="31" s="1"/>
  <c r="M12" i="31" s="1"/>
  <c r="L37" i="31"/>
  <c r="L46" i="31" s="1"/>
  <c r="AG46" i="31" s="1"/>
  <c r="M8" i="31" s="1"/>
  <c r="AG145" i="31"/>
  <c r="AA97" i="31" s="1"/>
  <c r="AG60" i="31"/>
  <c r="AA12" i="31" s="1"/>
  <c r="AG72" i="31"/>
  <c r="AH64" i="31" s="1"/>
  <c r="N74" i="31"/>
  <c r="AG49" i="31"/>
  <c r="M14" i="31" s="1"/>
  <c r="C37" i="31"/>
  <c r="D54" i="31" s="1"/>
  <c r="S37" i="31"/>
  <c r="T53" i="31" s="1"/>
  <c r="AG58" i="31"/>
  <c r="AA8" i="31" s="1"/>
  <c r="AG61" i="31"/>
  <c r="AA14" i="31" s="1"/>
  <c r="P122" i="30"/>
  <c r="O139" i="30" s="1"/>
  <c r="M122" i="30"/>
  <c r="C122" i="30"/>
  <c r="D139" i="30" s="1"/>
  <c r="H47" i="30"/>
  <c r="I37" i="30"/>
  <c r="I207" i="30"/>
  <c r="H222" i="30" s="1"/>
  <c r="F122" i="30"/>
  <c r="X216" i="31"/>
  <c r="Y207" i="31"/>
  <c r="L228" i="31"/>
  <c r="N229" i="31"/>
  <c r="R216" i="31"/>
  <c r="S207" i="31"/>
  <c r="T223" i="31" s="1"/>
  <c r="E229" i="31"/>
  <c r="G230" i="31"/>
  <c r="I122" i="31"/>
  <c r="H132" i="31"/>
  <c r="B53" i="31"/>
  <c r="T230" i="31"/>
  <c r="R228" i="31"/>
  <c r="D159" i="31"/>
  <c r="B158" i="31"/>
  <c r="O229" i="31"/>
  <c r="Q230" i="31"/>
  <c r="AG157" i="31"/>
  <c r="H216" i="31"/>
  <c r="J146" i="31"/>
  <c r="AG146" i="31" s="1"/>
  <c r="AA99" i="31" s="1"/>
  <c r="H144" i="31"/>
  <c r="F122" i="31"/>
  <c r="AG160" i="31"/>
  <c r="AB37" i="31"/>
  <c r="H242" i="31"/>
  <c r="J244" i="31"/>
  <c r="AC252" i="31"/>
  <c r="AF252" i="31" s="1"/>
  <c r="AU252" i="31" s="1"/>
  <c r="AG245" i="31"/>
  <c r="O223" i="31"/>
  <c r="Q224" i="31"/>
  <c r="AG131" i="31"/>
  <c r="M93" i="31" s="1"/>
  <c r="P122" i="31"/>
  <c r="F37" i="31"/>
  <c r="AG59" i="31"/>
  <c r="AA10" i="31" s="1"/>
  <c r="W230" i="31"/>
  <c r="U229" i="31"/>
  <c r="E217" i="31"/>
  <c r="F207" i="31"/>
  <c r="AG75" i="31"/>
  <c r="J230" i="31"/>
  <c r="H228" i="31"/>
  <c r="AE207" i="31"/>
  <c r="H47" i="31"/>
  <c r="AG47" i="31" s="1"/>
  <c r="M10" i="31" s="1"/>
  <c r="I37" i="31"/>
  <c r="D243" i="31"/>
  <c r="B242" i="31"/>
  <c r="D229" i="31"/>
  <c r="B228" i="31"/>
  <c r="AA230" i="31"/>
  <c r="AC231" i="31"/>
  <c r="AG231" i="31" s="1"/>
  <c r="AA184" i="31" s="1"/>
  <c r="R52" i="31"/>
  <c r="L222" i="31"/>
  <c r="N223" i="31"/>
  <c r="R143" i="31"/>
  <c r="AG143" i="31" s="1"/>
  <c r="AA93" i="31" s="1"/>
  <c r="T144" i="31"/>
  <c r="Z253" i="31"/>
  <c r="AC253" i="31" s="1"/>
  <c r="AF253" i="31" s="1"/>
  <c r="AU253" i="31" s="1"/>
  <c r="AG246" i="31"/>
  <c r="V207" i="31"/>
  <c r="B132" i="31"/>
  <c r="AG132" i="31" s="1"/>
  <c r="M95" i="31" s="1"/>
  <c r="C122" i="31"/>
  <c r="S122" i="31"/>
  <c r="B73" i="31"/>
  <c r="D74" i="31"/>
  <c r="W286" i="30"/>
  <c r="X321" i="30"/>
  <c r="G79" i="30"/>
  <c r="J79" i="30" s="1"/>
  <c r="L85" i="30" s="1"/>
  <c r="AG72" i="30"/>
  <c r="H144" i="30"/>
  <c r="J146" i="30"/>
  <c r="P37" i="30"/>
  <c r="AG131" i="30"/>
  <c r="M93" i="30" s="1"/>
  <c r="AG145" i="30"/>
  <c r="AA97" i="30" s="1"/>
  <c r="A341" i="30"/>
  <c r="B366" i="30"/>
  <c r="A329" i="30"/>
  <c r="G82" i="30"/>
  <c r="J85" i="30" s="1"/>
  <c r="AG75" i="30"/>
  <c r="AA218" i="30"/>
  <c r="AG218" i="30" s="1"/>
  <c r="M182" i="30" s="1"/>
  <c r="AB207" i="30"/>
  <c r="B216" i="30"/>
  <c r="C207" i="30"/>
  <c r="AD216" i="30"/>
  <c r="AE207" i="30"/>
  <c r="O217" i="30"/>
  <c r="P207" i="30"/>
  <c r="G146" i="30"/>
  <c r="E143" i="30"/>
  <c r="AE37" i="30"/>
  <c r="B158" i="30"/>
  <c r="D159" i="30"/>
  <c r="AG244" i="30"/>
  <c r="S37" i="30"/>
  <c r="R46" i="30"/>
  <c r="AC252" i="30"/>
  <c r="AF252" i="30" s="1"/>
  <c r="AU252" i="30" s="1"/>
  <c r="AG245" i="30"/>
  <c r="D81" i="30"/>
  <c r="G81" i="30" s="1"/>
  <c r="J81" i="30" s="1"/>
  <c r="N85" i="30" s="1"/>
  <c r="AG74" i="30"/>
  <c r="F332" i="30"/>
  <c r="T230" i="30"/>
  <c r="R228" i="30"/>
  <c r="AD228" i="30"/>
  <c r="AF229" i="30"/>
  <c r="W224" i="30"/>
  <c r="U223" i="30"/>
  <c r="AG49" i="30"/>
  <c r="M14" i="30" s="1"/>
  <c r="AG58" i="30"/>
  <c r="AA8" i="30" s="1"/>
  <c r="D80" i="30"/>
  <c r="G80" i="30" s="1"/>
  <c r="H85" i="30" s="1"/>
  <c r="AG73" i="30"/>
  <c r="E217" i="30"/>
  <c r="F207" i="30"/>
  <c r="Q140" i="30"/>
  <c r="C37" i="30"/>
  <c r="B47" i="30"/>
  <c r="AG47" i="30" s="1"/>
  <c r="M10" i="30" s="1"/>
  <c r="AG134" i="30"/>
  <c r="M99" i="30" s="1"/>
  <c r="E229" i="30"/>
  <c r="G230" i="30"/>
  <c r="F37" i="30"/>
  <c r="AG61" i="30"/>
  <c r="AA14" i="30" s="1"/>
  <c r="Z253" i="30"/>
  <c r="AC253" i="30" s="1"/>
  <c r="AF253" i="30" s="1"/>
  <c r="AU253" i="30" s="1"/>
  <c r="AG246" i="30"/>
  <c r="R137" i="30"/>
  <c r="T138" i="30"/>
  <c r="A286" i="30"/>
  <c r="B321" i="30"/>
  <c r="AG242" i="30"/>
  <c r="D249" i="30"/>
  <c r="G249" i="30" s="1"/>
  <c r="H255" i="30" s="1"/>
  <c r="R216" i="30"/>
  <c r="S207" i="30"/>
  <c r="H132" i="30"/>
  <c r="AG132" i="30" s="1"/>
  <c r="M95" i="30" s="1"/>
  <c r="I122" i="30"/>
  <c r="J224" i="30"/>
  <c r="AG46" i="30"/>
  <c r="M8" i="30" s="1"/>
  <c r="X318" i="30"/>
  <c r="W281" i="30"/>
  <c r="X222" i="30"/>
  <c r="Z226" i="30"/>
  <c r="AG226" i="30" s="1"/>
  <c r="AH220" i="30" s="1"/>
  <c r="S186" i="30" s="1"/>
  <c r="D250" i="30"/>
  <c r="E255" i="30" s="1"/>
  <c r="AG243" i="30"/>
  <c r="L46" i="30"/>
  <c r="M37" i="30"/>
  <c r="L228" i="30"/>
  <c r="N229" i="30"/>
  <c r="AG60" i="30"/>
  <c r="AA12" i="30" s="1"/>
  <c r="L216" i="30"/>
  <c r="M207" i="30"/>
  <c r="W295" i="30"/>
  <c r="X320" i="30"/>
  <c r="V284" i="30"/>
  <c r="W290" i="30"/>
  <c r="X319" i="30"/>
  <c r="N139" i="30"/>
  <c r="L137" i="30"/>
  <c r="AG160" i="30"/>
  <c r="AG133" i="30"/>
  <c r="M97" i="30" s="1"/>
  <c r="AG157" i="30"/>
  <c r="R143" i="30"/>
  <c r="T144" i="30"/>
  <c r="G140" i="30"/>
  <c r="E137" i="30"/>
  <c r="AG59" i="30"/>
  <c r="AA10" i="30" s="1"/>
  <c r="AT80" i="19"/>
  <c r="AT166" i="19"/>
  <c r="AT251" i="19"/>
  <c r="AT165" i="19"/>
  <c r="D290" i="25"/>
  <c r="C291" i="25"/>
  <c r="C13" i="25"/>
  <c r="D12" i="25"/>
  <c r="D355" i="25"/>
  <c r="C356" i="25"/>
  <c r="C397" i="25"/>
  <c r="D396" i="25"/>
  <c r="C216" i="25"/>
  <c r="D215" i="25"/>
  <c r="D66" i="25"/>
  <c r="C67" i="25"/>
  <c r="D5" i="25"/>
  <c r="C6" i="25"/>
  <c r="D138" i="25"/>
  <c r="C139" i="25"/>
  <c r="D4" i="41" l="1"/>
  <c r="C5" i="41"/>
  <c r="D5" i="41" s="1"/>
  <c r="D3" i="41"/>
  <c r="D252" i="41"/>
  <c r="D46" i="41"/>
  <c r="D291" i="40"/>
  <c r="C292" i="40"/>
  <c r="D69" i="40"/>
  <c r="D70" i="40" s="1"/>
  <c r="C70" i="40"/>
  <c r="C71" i="40" s="1"/>
  <c r="C14" i="40"/>
  <c r="D13" i="40"/>
  <c r="C140" i="40"/>
  <c r="D139" i="40"/>
  <c r="D348" i="40"/>
  <c r="C349" i="40"/>
  <c r="C222" i="40"/>
  <c r="D221" i="40"/>
  <c r="C396" i="40"/>
  <c r="D395" i="40"/>
  <c r="AW11" i="18"/>
  <c r="C81" i="18" s="1"/>
  <c r="D81" i="18" s="1"/>
  <c r="G85" i="18" s="1"/>
  <c r="AY11" i="17"/>
  <c r="AW5" i="18"/>
  <c r="C249" i="18" s="1"/>
  <c r="B255" i="18" s="1"/>
  <c r="AY5" i="17"/>
  <c r="AW8" i="18"/>
  <c r="C79" i="18" s="1"/>
  <c r="B85" i="18" s="1"/>
  <c r="AY8" i="17"/>
  <c r="AW9" i="18"/>
  <c r="C250" i="18" s="1"/>
  <c r="D255" i="18" s="1"/>
  <c r="AY9" i="17"/>
  <c r="AW4" i="18"/>
  <c r="C164" i="18" s="1"/>
  <c r="B170" i="18" s="1"/>
  <c r="B171" i="18" s="1"/>
  <c r="B172" i="18" s="1"/>
  <c r="D164" i="18" s="1"/>
  <c r="G164" i="18" s="1"/>
  <c r="H170" i="18" s="1"/>
  <c r="AY4" i="17"/>
  <c r="AW7" i="18"/>
  <c r="C80" i="18" s="1"/>
  <c r="D85" i="18" s="1"/>
  <c r="D86" i="18" s="1"/>
  <c r="D87" i="18" s="1"/>
  <c r="D80" i="18" s="1"/>
  <c r="E85" i="18" s="1"/>
  <c r="E86" i="18" s="1"/>
  <c r="E87" i="18" s="1"/>
  <c r="G80" i="18" s="1"/>
  <c r="J80" i="18" s="1"/>
  <c r="M80" i="18" s="1"/>
  <c r="P80" i="18" s="1"/>
  <c r="S80" i="18" s="1"/>
  <c r="V80" i="18" s="1"/>
  <c r="Y80" i="18" s="1"/>
  <c r="AB80" i="18" s="1"/>
  <c r="AE80" i="18" s="1"/>
  <c r="AU80" i="18" s="1"/>
  <c r="AX7" i="18" s="1"/>
  <c r="AY7" i="17"/>
  <c r="AY3" i="17"/>
  <c r="AW3" i="18"/>
  <c r="C166" i="18" s="1"/>
  <c r="D166" i="18" s="1"/>
  <c r="G170" i="18" s="1"/>
  <c r="J171" i="17"/>
  <c r="J172" i="17" s="1"/>
  <c r="J166" i="17" s="1"/>
  <c r="M166" i="17" s="1"/>
  <c r="P166" i="17" s="1"/>
  <c r="S166" i="17" s="1"/>
  <c r="V166" i="17" s="1"/>
  <c r="Y166" i="17" s="1"/>
  <c r="AB166" i="17" s="1"/>
  <c r="AE166" i="17" s="1"/>
  <c r="AU166" i="17" s="1"/>
  <c r="AX10" i="17" s="1"/>
  <c r="I207" i="31"/>
  <c r="J223" i="31" s="1"/>
  <c r="AG218" i="31"/>
  <c r="M182" i="31" s="1"/>
  <c r="AG216" i="31"/>
  <c r="M178" i="31" s="1"/>
  <c r="AG217" i="31"/>
  <c r="M180" i="31" s="1"/>
  <c r="C207" i="31"/>
  <c r="D224" i="31" s="1"/>
  <c r="AG229" i="31"/>
  <c r="AA180" i="31" s="1"/>
  <c r="J266" i="31" s="1"/>
  <c r="L137" i="31"/>
  <c r="P37" i="31"/>
  <c r="O54" i="31" s="1"/>
  <c r="M37" i="31"/>
  <c r="L52" i="31" s="1"/>
  <c r="AG228" i="31"/>
  <c r="AA178" i="31" s="1"/>
  <c r="U266" i="31" s="1"/>
  <c r="AD8" i="31"/>
  <c r="AG228" i="30"/>
  <c r="AA178" i="30" s="1"/>
  <c r="AG230" i="30"/>
  <c r="AA182" i="30" s="1"/>
  <c r="AG217" i="30"/>
  <c r="M180" i="30" s="1"/>
  <c r="AG144" i="30"/>
  <c r="AA95" i="30" s="1"/>
  <c r="AG146" i="30"/>
  <c r="AA99" i="30" s="1"/>
  <c r="B138" i="30"/>
  <c r="J55" i="30"/>
  <c r="H53" i="30"/>
  <c r="AG229" i="30"/>
  <c r="AA180" i="30" s="1"/>
  <c r="AG137" i="30"/>
  <c r="AH131" i="30" s="1"/>
  <c r="S93" i="30" s="1"/>
  <c r="AG139" i="30"/>
  <c r="AH133" i="30" s="1"/>
  <c r="S97" i="30" s="1"/>
  <c r="AG143" i="30"/>
  <c r="AA93" i="30" s="1"/>
  <c r="AG73" i="31"/>
  <c r="AH149" i="31"/>
  <c r="AD93" i="31"/>
  <c r="T224" i="31"/>
  <c r="R222" i="31"/>
  <c r="R137" i="31"/>
  <c r="T138" i="31"/>
  <c r="J55" i="31"/>
  <c r="H53" i="31"/>
  <c r="AG53" i="31" s="1"/>
  <c r="AH47" i="31" s="1"/>
  <c r="S10" i="31" s="1"/>
  <c r="AH152" i="31"/>
  <c r="AD99" i="31"/>
  <c r="B138" i="31"/>
  <c r="D139" i="31"/>
  <c r="B222" i="31"/>
  <c r="D223" i="31"/>
  <c r="AF223" i="31"/>
  <c r="AD222" i="31"/>
  <c r="AH237" i="31"/>
  <c r="AD184" i="31"/>
  <c r="J224" i="31"/>
  <c r="H222" i="31"/>
  <c r="AG158" i="31"/>
  <c r="J140" i="31"/>
  <c r="H138" i="31"/>
  <c r="W224" i="31"/>
  <c r="U223" i="31"/>
  <c r="AG244" i="31"/>
  <c r="AG159" i="31"/>
  <c r="AH238" i="31"/>
  <c r="AD186" i="31"/>
  <c r="G55" i="31"/>
  <c r="E52" i="31"/>
  <c r="AG230" i="31"/>
  <c r="AA182" i="31" s="1"/>
  <c r="AF266" i="31" s="1"/>
  <c r="X222" i="31"/>
  <c r="Z226" i="31"/>
  <c r="AG226" i="31" s="1"/>
  <c r="AH220" i="31" s="1"/>
  <c r="S186" i="31" s="1"/>
  <c r="AG242" i="31"/>
  <c r="AH67" i="31"/>
  <c r="AD14" i="31"/>
  <c r="O139" i="31"/>
  <c r="Q140" i="31"/>
  <c r="G140" i="31"/>
  <c r="E137" i="31"/>
  <c r="AG74" i="31"/>
  <c r="AG243" i="31"/>
  <c r="G224" i="31"/>
  <c r="E223" i="31"/>
  <c r="AG144" i="31"/>
  <c r="AA95" i="31" s="1"/>
  <c r="J140" i="30"/>
  <c r="H138" i="30"/>
  <c r="G55" i="30"/>
  <c r="E52" i="30"/>
  <c r="E223" i="30"/>
  <c r="G224" i="30"/>
  <c r="D166" i="30"/>
  <c r="G166" i="30" s="1"/>
  <c r="J166" i="30" s="1"/>
  <c r="AG159" i="30"/>
  <c r="AG216" i="30"/>
  <c r="M178" i="30" s="1"/>
  <c r="AT322" i="30"/>
  <c r="AH237" i="30"/>
  <c r="AD184" i="30"/>
  <c r="D165" i="30"/>
  <c r="G165" i="30" s="1"/>
  <c r="AG158" i="30"/>
  <c r="AC225" i="30"/>
  <c r="AG225" i="30" s="1"/>
  <c r="AH219" i="30" s="1"/>
  <c r="S184" i="30" s="1"/>
  <c r="AA224" i="30"/>
  <c r="AG140" i="30"/>
  <c r="AH134" i="30" s="1"/>
  <c r="S99" i="30" s="1"/>
  <c r="AH152" i="30"/>
  <c r="AD99" i="30"/>
  <c r="T224" i="30"/>
  <c r="R222" i="30"/>
  <c r="AH65" i="30"/>
  <c r="AD10" i="30"/>
  <c r="L52" i="30"/>
  <c r="N54" i="30"/>
  <c r="AT321" i="30"/>
  <c r="AH238" i="30"/>
  <c r="AD186" i="30"/>
  <c r="H86" i="30"/>
  <c r="H87" i="30" s="1"/>
  <c r="J80" i="30" s="1"/>
  <c r="N80" i="30" s="1"/>
  <c r="Q80" i="30" s="1"/>
  <c r="O223" i="30"/>
  <c r="Q224" i="30"/>
  <c r="AH64" i="30"/>
  <c r="AD8" i="30"/>
  <c r="AT323" i="30"/>
  <c r="R52" i="30"/>
  <c r="T53" i="30"/>
  <c r="AH67" i="30"/>
  <c r="AD14" i="30"/>
  <c r="L86" i="30"/>
  <c r="L87" i="30" s="1"/>
  <c r="N79" i="30" s="1"/>
  <c r="Q79" i="30" s="1"/>
  <c r="R85" i="30" s="1"/>
  <c r="B53" i="30"/>
  <c r="D54" i="30"/>
  <c r="AD12" i="30"/>
  <c r="AH66" i="30"/>
  <c r="AF223" i="30"/>
  <c r="AD222" i="30"/>
  <c r="J86" i="30"/>
  <c r="J87" i="30" s="1"/>
  <c r="J82" i="30" s="1"/>
  <c r="N82" i="30" s="1"/>
  <c r="AT324" i="30"/>
  <c r="AD93" i="30"/>
  <c r="AH149" i="30"/>
  <c r="L222" i="30"/>
  <c r="N223" i="30"/>
  <c r="AH235" i="30"/>
  <c r="AD180" i="30"/>
  <c r="AH234" i="30"/>
  <c r="AD178" i="30"/>
  <c r="N86" i="30"/>
  <c r="N87" i="30" s="1"/>
  <c r="N81" i="30" s="1"/>
  <c r="O85" i="30" s="1"/>
  <c r="AH236" i="30"/>
  <c r="AD182" i="30"/>
  <c r="O54" i="30"/>
  <c r="Q55" i="30"/>
  <c r="E256" i="30"/>
  <c r="E257" i="30" s="1"/>
  <c r="G250" i="30" s="1"/>
  <c r="J250" i="30" s="1"/>
  <c r="G256" i="30"/>
  <c r="G257" i="30" s="1"/>
  <c r="G251" i="30" s="1"/>
  <c r="J255" i="30" s="1"/>
  <c r="J256" i="30" s="1"/>
  <c r="J257" i="30" s="1"/>
  <c r="AT320" i="30"/>
  <c r="B222" i="30"/>
  <c r="D223" i="30"/>
  <c r="AT365" i="30"/>
  <c r="AX14" i="19"/>
  <c r="AX12" i="19"/>
  <c r="AY12" i="19" s="1"/>
  <c r="AX13" i="19"/>
  <c r="AY13" i="19" s="1"/>
  <c r="C398" i="25"/>
  <c r="D397" i="25"/>
  <c r="D139" i="25"/>
  <c r="C140" i="25"/>
  <c r="C7" i="25"/>
  <c r="C8" i="25" s="1"/>
  <c r="C9" i="25" s="1"/>
  <c r="D6" i="25"/>
  <c r="D7" i="25" s="1"/>
  <c r="D8" i="25" s="1"/>
  <c r="D9" i="25" s="1"/>
  <c r="C357" i="25"/>
  <c r="D356" i="25"/>
  <c r="D67" i="25"/>
  <c r="C68" i="25"/>
  <c r="D13" i="25"/>
  <c r="C14" i="25"/>
  <c r="D291" i="25"/>
  <c r="C292" i="25"/>
  <c r="D216" i="25"/>
  <c r="C217" i="25"/>
  <c r="C6" i="41" l="1"/>
  <c r="C8" i="41"/>
  <c r="D48" i="41"/>
  <c r="C47" i="41"/>
  <c r="C48" i="41" s="1"/>
  <c r="C92" i="41"/>
  <c r="C93" i="41" s="1"/>
  <c r="D140" i="40"/>
  <c r="C141" i="40"/>
  <c r="D396" i="40"/>
  <c r="C397" i="40"/>
  <c r="D14" i="40"/>
  <c r="C15" i="40"/>
  <c r="C72" i="40"/>
  <c r="D71" i="40"/>
  <c r="D222" i="40"/>
  <c r="C223" i="40"/>
  <c r="C350" i="40"/>
  <c r="D349" i="40"/>
  <c r="D292" i="40"/>
  <c r="C293" i="40"/>
  <c r="AW7" i="19"/>
  <c r="C249" i="19" s="1"/>
  <c r="B255" i="19" s="1"/>
  <c r="AY7" i="18"/>
  <c r="B256" i="18"/>
  <c r="B257" i="18" s="1"/>
  <c r="D249" i="18" s="1"/>
  <c r="G249" i="18" s="1"/>
  <c r="H255" i="18" s="1"/>
  <c r="D171" i="18"/>
  <c r="D172" i="18" s="1"/>
  <c r="D165" i="18" s="1"/>
  <c r="E170" i="18" s="1"/>
  <c r="G171" i="18" s="1"/>
  <c r="G172" i="18" s="1"/>
  <c r="G166" i="18" s="1"/>
  <c r="J170" i="18" s="1"/>
  <c r="D256" i="18"/>
  <c r="D257" i="18" s="1"/>
  <c r="D250" i="18" s="1"/>
  <c r="E255" i="18" s="1"/>
  <c r="AW10" i="18"/>
  <c r="C251" i="18" s="1"/>
  <c r="D251" i="18" s="1"/>
  <c r="G255" i="18" s="1"/>
  <c r="AY10" i="17"/>
  <c r="G86" i="18"/>
  <c r="G87" i="18" s="1"/>
  <c r="G81" i="18" s="1"/>
  <c r="J85" i="18" s="1"/>
  <c r="B86" i="18"/>
  <c r="B87" i="18" s="1"/>
  <c r="D79" i="18" s="1"/>
  <c r="G79" i="18" s="1"/>
  <c r="H85" i="18" s="1"/>
  <c r="L265" i="31"/>
  <c r="AG265" i="31"/>
  <c r="L266" i="31"/>
  <c r="AG266" i="31"/>
  <c r="W264" i="31"/>
  <c r="AP264" i="31"/>
  <c r="W266" i="31"/>
  <c r="L264" i="31"/>
  <c r="W265" i="31"/>
  <c r="AG264" i="31"/>
  <c r="AP265" i="31"/>
  <c r="AG224" i="31"/>
  <c r="AH218" i="31" s="1"/>
  <c r="S182" i="31" s="1"/>
  <c r="AG137" i="31"/>
  <c r="AH131" i="31" s="1"/>
  <c r="S93" i="31" s="1"/>
  <c r="Q55" i="31"/>
  <c r="AG55" i="31" s="1"/>
  <c r="AH49" i="31" s="1"/>
  <c r="S14" i="31" s="1"/>
  <c r="AG52" i="31"/>
  <c r="AH46" i="31" s="1"/>
  <c r="S8" i="31" s="1"/>
  <c r="N54" i="31"/>
  <c r="AG54" i="31" s="1"/>
  <c r="AH48" i="31" s="1"/>
  <c r="S12" i="31" s="1"/>
  <c r="AG222" i="30"/>
  <c r="AH216" i="30" s="1"/>
  <c r="S178" i="30" s="1"/>
  <c r="J251" i="30"/>
  <c r="N251" i="30" s="1"/>
  <c r="Q255" i="30" s="1"/>
  <c r="H256" i="30"/>
  <c r="H257" i="30" s="1"/>
  <c r="J249" i="30" s="1"/>
  <c r="L255" i="30" s="1"/>
  <c r="AG138" i="30"/>
  <c r="AH132" i="30" s="1"/>
  <c r="S95" i="30" s="1"/>
  <c r="Q85" i="30"/>
  <c r="Q86" i="30" s="1"/>
  <c r="Q87" i="30" s="1"/>
  <c r="Q82" i="30" s="1"/>
  <c r="T82" i="30" s="1"/>
  <c r="W82" i="30" s="1"/>
  <c r="Z82" i="30" s="1"/>
  <c r="AC82" i="30" s="1"/>
  <c r="AF82" i="30" s="1"/>
  <c r="AU82" i="30" s="1"/>
  <c r="AX13" i="30" s="1"/>
  <c r="AG53" i="30"/>
  <c r="AH47" i="30" s="1"/>
  <c r="S10" i="30" s="1"/>
  <c r="AG140" i="31"/>
  <c r="AH134" i="31" s="1"/>
  <c r="S99" i="31" s="1"/>
  <c r="AH150" i="31"/>
  <c r="AD95" i="31"/>
  <c r="AH235" i="31"/>
  <c r="AD180" i="31"/>
  <c r="AG223" i="31"/>
  <c r="AH217" i="31" s="1"/>
  <c r="S180" i="31" s="1"/>
  <c r="AH151" i="31"/>
  <c r="AD97" i="31"/>
  <c r="AG222" i="31"/>
  <c r="AH216" i="31" s="1"/>
  <c r="S178" i="31" s="1"/>
  <c r="AH66" i="31"/>
  <c r="AD12" i="31"/>
  <c r="AG139" i="31"/>
  <c r="AH133" i="31" s="1"/>
  <c r="S97" i="31" s="1"/>
  <c r="AG138" i="31"/>
  <c r="AH132" i="31" s="1"/>
  <c r="S95" i="31" s="1"/>
  <c r="AD10" i="31"/>
  <c r="AH65" i="31"/>
  <c r="AH234" i="31"/>
  <c r="AD178" i="31"/>
  <c r="AH236" i="31"/>
  <c r="AD182" i="31"/>
  <c r="T85" i="30"/>
  <c r="AG224" i="30"/>
  <c r="AH218" i="30" s="1"/>
  <c r="S182" i="30" s="1"/>
  <c r="AD95" i="30"/>
  <c r="AH150" i="30"/>
  <c r="H170" i="30"/>
  <c r="AG52" i="30"/>
  <c r="AH46" i="30" s="1"/>
  <c r="S8" i="30" s="1"/>
  <c r="AG55" i="30"/>
  <c r="AH49" i="30" s="1"/>
  <c r="S14" i="30" s="1"/>
  <c r="AG54" i="30"/>
  <c r="AH48" i="30" s="1"/>
  <c r="S12" i="30" s="1"/>
  <c r="N255" i="30"/>
  <c r="AG223" i="30"/>
  <c r="AH217" i="30" s="1"/>
  <c r="S180" i="30" s="1"/>
  <c r="AH151" i="30"/>
  <c r="AD97" i="30"/>
  <c r="N170" i="30"/>
  <c r="D357" i="25"/>
  <c r="C358" i="25"/>
  <c r="D292" i="25"/>
  <c r="C293" i="25"/>
  <c r="D217" i="25"/>
  <c r="D218" i="25" s="1"/>
  <c r="D219" i="25" s="1"/>
  <c r="D220" i="25" s="1"/>
  <c r="C218" i="25"/>
  <c r="C219" i="25" s="1"/>
  <c r="C220" i="25" s="1"/>
  <c r="C221" i="25" s="1"/>
  <c r="D14" i="25"/>
  <c r="C15" i="25"/>
  <c r="C141" i="25"/>
  <c r="D140" i="25"/>
  <c r="D68" i="25"/>
  <c r="C69" i="25"/>
  <c r="D398" i="25"/>
  <c r="D399" i="25" s="1"/>
  <c r="C399" i="25"/>
  <c r="C400" i="25" s="1"/>
  <c r="C94" i="41" l="1"/>
  <c r="D93" i="41"/>
  <c r="D6" i="41"/>
  <c r="C7" i="41"/>
  <c r="D7" i="41" s="1"/>
  <c r="D8" i="41"/>
  <c r="D9" i="41" s="1"/>
  <c r="C9" i="41"/>
  <c r="D92" i="41"/>
  <c r="C49" i="41"/>
  <c r="D47" i="41"/>
  <c r="C73" i="40"/>
  <c r="C74" i="40" s="1"/>
  <c r="C75" i="40" s="1"/>
  <c r="C76" i="40" s="1"/>
  <c r="C77" i="40" s="1"/>
  <c r="C78" i="40" s="1"/>
  <c r="C79" i="40" s="1"/>
  <c r="C80" i="40" s="1"/>
  <c r="C81" i="40" s="1"/>
  <c r="C82" i="40" s="1"/>
  <c r="C83" i="40" s="1"/>
  <c r="C84" i="40" s="1"/>
  <c r="C85" i="40" s="1"/>
  <c r="C86" i="40" s="1"/>
  <c r="D72" i="40"/>
  <c r="D73" i="40" s="1"/>
  <c r="D74" i="40" s="1"/>
  <c r="D75" i="40" s="1"/>
  <c r="D76" i="40" s="1"/>
  <c r="D77" i="40" s="1"/>
  <c r="D78" i="40" s="1"/>
  <c r="D79" i="40" s="1"/>
  <c r="D80" i="40" s="1"/>
  <c r="D81" i="40" s="1"/>
  <c r="D82" i="40" s="1"/>
  <c r="D83" i="40" s="1"/>
  <c r="D84" i="40" s="1"/>
  <c r="D85" i="40" s="1"/>
  <c r="C16" i="40"/>
  <c r="C17" i="40" s="1"/>
  <c r="D15" i="40"/>
  <c r="D16" i="40" s="1"/>
  <c r="C398" i="40"/>
  <c r="D397" i="40"/>
  <c r="C351" i="40"/>
  <c r="C352" i="40" s="1"/>
  <c r="D350" i="40"/>
  <c r="D351" i="40" s="1"/>
  <c r="D223" i="40"/>
  <c r="C224" i="40"/>
  <c r="C142" i="40"/>
  <c r="D141" i="40"/>
  <c r="C294" i="40"/>
  <c r="D293" i="40"/>
  <c r="E171" i="18"/>
  <c r="E172" i="18" s="1"/>
  <c r="G165" i="18" s="1"/>
  <c r="J165" i="18" s="1"/>
  <c r="M165" i="18" s="1"/>
  <c r="P165" i="18" s="1"/>
  <c r="S165" i="18" s="1"/>
  <c r="V165" i="18" s="1"/>
  <c r="Y165" i="18" s="1"/>
  <c r="AB165" i="18" s="1"/>
  <c r="AE165" i="18" s="1"/>
  <c r="AU165" i="18" s="1"/>
  <c r="AX6" i="18" s="1"/>
  <c r="AW6" i="19" s="1"/>
  <c r="C165" i="19" s="1"/>
  <c r="D170" i="19" s="1"/>
  <c r="E256" i="18"/>
  <c r="E257" i="18" s="1"/>
  <c r="G250" i="18" s="1"/>
  <c r="J250" i="18" s="1"/>
  <c r="M250" i="18" s="1"/>
  <c r="P250" i="18" s="1"/>
  <c r="S250" i="18" s="1"/>
  <c r="V250" i="18" s="1"/>
  <c r="Y250" i="18" s="1"/>
  <c r="AB250" i="18" s="1"/>
  <c r="AE250" i="18" s="1"/>
  <c r="AU250" i="18" s="1"/>
  <c r="AX9" i="18" s="1"/>
  <c r="H171" i="18"/>
  <c r="H172" i="18" s="1"/>
  <c r="J164" i="18" s="1"/>
  <c r="M164" i="18" s="1"/>
  <c r="P164" i="18" s="1"/>
  <c r="S164" i="18" s="1"/>
  <c r="V164" i="18" s="1"/>
  <c r="Y164" i="18" s="1"/>
  <c r="AB164" i="18" s="1"/>
  <c r="AE164" i="18" s="1"/>
  <c r="AU164" i="18" s="1"/>
  <c r="AX4" i="18" s="1"/>
  <c r="J171" i="18"/>
  <c r="J172" i="18" s="1"/>
  <c r="J166" i="18" s="1"/>
  <c r="M166" i="18" s="1"/>
  <c r="P166" i="18" s="1"/>
  <c r="S166" i="18" s="1"/>
  <c r="V166" i="18" s="1"/>
  <c r="Y166" i="18" s="1"/>
  <c r="AB166" i="18" s="1"/>
  <c r="AE166" i="18" s="1"/>
  <c r="AU166" i="18" s="1"/>
  <c r="AX3" i="18" s="1"/>
  <c r="G256" i="18"/>
  <c r="G257" i="18" s="1"/>
  <c r="G251" i="18" s="1"/>
  <c r="J255" i="18" s="1"/>
  <c r="H256" i="18" s="1"/>
  <c r="H257" i="18" s="1"/>
  <c r="J249" i="18" s="1"/>
  <c r="M249" i="18" s="1"/>
  <c r="P249" i="18" s="1"/>
  <c r="S249" i="18" s="1"/>
  <c r="V249" i="18" s="1"/>
  <c r="Y249" i="18" s="1"/>
  <c r="AB249" i="18" s="1"/>
  <c r="AE249" i="18" s="1"/>
  <c r="AU249" i="18" s="1"/>
  <c r="AX5" i="18" s="1"/>
  <c r="J86" i="18"/>
  <c r="J87" i="18" s="1"/>
  <c r="J81" i="18" s="1"/>
  <c r="M81" i="18" s="1"/>
  <c r="P81" i="18" s="1"/>
  <c r="S81" i="18" s="1"/>
  <c r="V81" i="18" s="1"/>
  <c r="Y81" i="18" s="1"/>
  <c r="AB81" i="18" s="1"/>
  <c r="AE81" i="18" s="1"/>
  <c r="AU81" i="18" s="1"/>
  <c r="AX11" i="18" s="1"/>
  <c r="H86" i="18"/>
  <c r="H87" i="18" s="1"/>
  <c r="J79" i="18" s="1"/>
  <c r="M79" i="18" s="1"/>
  <c r="P79" i="18" s="1"/>
  <c r="S79" i="18" s="1"/>
  <c r="V79" i="18" s="1"/>
  <c r="Y79" i="18" s="1"/>
  <c r="AB79" i="18" s="1"/>
  <c r="AE79" i="18" s="1"/>
  <c r="AU79" i="18" s="1"/>
  <c r="AX8" i="18" s="1"/>
  <c r="AF271" i="31"/>
  <c r="K349" i="31" s="1"/>
  <c r="AF270" i="31"/>
  <c r="AH304" i="31" s="1"/>
  <c r="AF269" i="31"/>
  <c r="AH303" i="31" s="1"/>
  <c r="X271" i="31"/>
  <c r="B349" i="31" s="1"/>
  <c r="X270" i="31"/>
  <c r="Y304" i="31" s="1"/>
  <c r="X269" i="31"/>
  <c r="Y303" i="31" s="1"/>
  <c r="B270" i="31"/>
  <c r="B269" i="31"/>
  <c r="I271" i="31"/>
  <c r="I270" i="31"/>
  <c r="I269" i="31"/>
  <c r="B271" i="31"/>
  <c r="AN270" i="31"/>
  <c r="AN269" i="31"/>
  <c r="AH270" i="31"/>
  <c r="AH269" i="31"/>
  <c r="T269" i="31"/>
  <c r="K304" i="31" s="1"/>
  <c r="M271" i="31"/>
  <c r="Y302" i="31" s="1"/>
  <c r="M270" i="31"/>
  <c r="Y301" i="31" s="1"/>
  <c r="M269" i="31"/>
  <c r="B304" i="31" s="1"/>
  <c r="T271" i="31"/>
  <c r="AH302" i="31" s="1"/>
  <c r="T270" i="31"/>
  <c r="AH301" i="31" s="1"/>
  <c r="C367" i="30"/>
  <c r="D367" i="30" s="1"/>
  <c r="E370" i="30" s="1"/>
  <c r="E372" i="30" s="1"/>
  <c r="G367" i="30" s="1"/>
  <c r="J367" i="30" s="1"/>
  <c r="AU366" i="30" s="1"/>
  <c r="AY13" i="30" s="1"/>
  <c r="AW11" i="31" s="1"/>
  <c r="C251" i="31" s="1"/>
  <c r="D255" i="31" s="1"/>
  <c r="O86" i="30"/>
  <c r="O87" i="30" s="1"/>
  <c r="Q81" i="30" s="1"/>
  <c r="T81" i="30" s="1"/>
  <c r="W81" i="30" s="1"/>
  <c r="Z81" i="30" s="1"/>
  <c r="AC81" i="30" s="1"/>
  <c r="AF81" i="30" s="1"/>
  <c r="AU81" i="30" s="1"/>
  <c r="AX9" i="30" s="1"/>
  <c r="H171" i="30"/>
  <c r="H172" i="30" s="1"/>
  <c r="J165" i="30" s="1"/>
  <c r="N165" i="30" s="1"/>
  <c r="Q165" i="30" s="1"/>
  <c r="T170" i="30" s="1"/>
  <c r="J171" i="30"/>
  <c r="J172" i="30" s="1"/>
  <c r="J167" i="30" s="1"/>
  <c r="N167" i="30" s="1"/>
  <c r="L256" i="30"/>
  <c r="L257" i="30" s="1"/>
  <c r="N249" i="30" s="1"/>
  <c r="Q249" i="30" s="1"/>
  <c r="N256" i="30"/>
  <c r="N257" i="30" s="1"/>
  <c r="N250" i="30" s="1"/>
  <c r="O255" i="30" s="1"/>
  <c r="Q256" i="30" s="1"/>
  <c r="Q257" i="30" s="1"/>
  <c r="Q251" i="30" s="1"/>
  <c r="N171" i="30"/>
  <c r="N172" i="30" s="1"/>
  <c r="N166" i="30" s="1"/>
  <c r="O170" i="30" s="1"/>
  <c r="L171" i="30"/>
  <c r="L172" i="30" s="1"/>
  <c r="N164" i="30" s="1"/>
  <c r="Q164" i="30" s="1"/>
  <c r="T86" i="30"/>
  <c r="T87" i="30" s="1"/>
  <c r="T80" i="30" s="1"/>
  <c r="W80" i="30" s="1"/>
  <c r="Z80" i="30" s="1"/>
  <c r="AC80" i="30" s="1"/>
  <c r="AF80" i="30" s="1"/>
  <c r="AU80" i="30" s="1"/>
  <c r="AX8" i="30" s="1"/>
  <c r="R86" i="30"/>
  <c r="R87" i="30" s="1"/>
  <c r="T79" i="30" s="1"/>
  <c r="W79" i="30" s="1"/>
  <c r="Z79" i="30" s="1"/>
  <c r="AC79" i="30" s="1"/>
  <c r="AF79" i="30" s="1"/>
  <c r="AU79" i="30" s="1"/>
  <c r="AX3" i="30" s="1"/>
  <c r="C16" i="25"/>
  <c r="C17" i="25" s="1"/>
  <c r="D15" i="25"/>
  <c r="D16" i="25" s="1"/>
  <c r="D400" i="25"/>
  <c r="C401" i="25"/>
  <c r="D221" i="25"/>
  <c r="C222" i="25"/>
  <c r="C70" i="25"/>
  <c r="C71" i="25" s="1"/>
  <c r="D69" i="25"/>
  <c r="D70" i="25" s="1"/>
  <c r="D293" i="25"/>
  <c r="C294" i="25"/>
  <c r="D358" i="25"/>
  <c r="D359" i="25" s="1"/>
  <c r="D360" i="25" s="1"/>
  <c r="C359" i="25"/>
  <c r="C360" i="25" s="1"/>
  <c r="C361" i="25" s="1"/>
  <c r="C142" i="25"/>
  <c r="D141" i="25"/>
  <c r="D94" i="41" l="1"/>
  <c r="C95" i="41"/>
  <c r="D95" i="41" s="1"/>
  <c r="C10" i="41"/>
  <c r="C148" i="41"/>
  <c r="C149" i="41" s="1"/>
  <c r="D149" i="41" s="1"/>
  <c r="D49" i="41"/>
  <c r="D50" i="41" s="1"/>
  <c r="D51" i="41" s="1"/>
  <c r="D52" i="41" s="1"/>
  <c r="D53" i="41" s="1"/>
  <c r="D54" i="41" s="1"/>
  <c r="D55" i="41" s="1"/>
  <c r="C50" i="41"/>
  <c r="C51" i="41" s="1"/>
  <c r="C52" i="41" s="1"/>
  <c r="C53" i="41" s="1"/>
  <c r="C54" i="41" s="1"/>
  <c r="C55" i="41" s="1"/>
  <c r="D352" i="40"/>
  <c r="C353" i="40"/>
  <c r="D294" i="40"/>
  <c r="C295" i="40"/>
  <c r="D398" i="40"/>
  <c r="D399" i="40" s="1"/>
  <c r="C399" i="40"/>
  <c r="C400" i="40" s="1"/>
  <c r="C143" i="40"/>
  <c r="D142" i="40"/>
  <c r="D17" i="40"/>
  <c r="C18" i="40"/>
  <c r="D224" i="40"/>
  <c r="C225" i="40"/>
  <c r="D86" i="40"/>
  <c r="C87" i="40"/>
  <c r="AY6" i="18"/>
  <c r="AW11" i="19"/>
  <c r="C79" i="19" s="1"/>
  <c r="B85" i="19" s="1"/>
  <c r="AY11" i="18"/>
  <c r="AW9" i="19"/>
  <c r="C166" i="19" s="1"/>
  <c r="D166" i="19" s="1"/>
  <c r="G170" i="19" s="1"/>
  <c r="AY9" i="18"/>
  <c r="AW8" i="19"/>
  <c r="C164" i="19" s="1"/>
  <c r="B170" i="19" s="1"/>
  <c r="AY8" i="18"/>
  <c r="AW5" i="19"/>
  <c r="C81" i="19" s="1"/>
  <c r="D81" i="19" s="1"/>
  <c r="G85" i="19" s="1"/>
  <c r="AY5" i="18"/>
  <c r="AW4" i="19"/>
  <c r="C80" i="19" s="1"/>
  <c r="D85" i="19" s="1"/>
  <c r="B86" i="19" s="1"/>
  <c r="B87" i="19" s="1"/>
  <c r="D79" i="19" s="1"/>
  <c r="G79" i="19" s="1"/>
  <c r="H85" i="19" s="1"/>
  <c r="AY4" i="18"/>
  <c r="J256" i="18"/>
  <c r="J257" i="18" s="1"/>
  <c r="J251" i="18" s="1"/>
  <c r="M251" i="18" s="1"/>
  <c r="P251" i="18" s="1"/>
  <c r="S251" i="18" s="1"/>
  <c r="V251" i="18" s="1"/>
  <c r="Y251" i="18" s="1"/>
  <c r="AB251" i="18" s="1"/>
  <c r="AE251" i="18" s="1"/>
  <c r="AU251" i="18" s="1"/>
  <c r="AX10" i="18" s="1"/>
  <c r="AW3" i="19"/>
  <c r="C250" i="19" s="1"/>
  <c r="D255" i="19" s="1"/>
  <c r="AY3" i="18"/>
  <c r="W290" i="31"/>
  <c r="X319" i="31"/>
  <c r="W295" i="31"/>
  <c r="X320" i="31"/>
  <c r="V284" i="31"/>
  <c r="W286" i="31"/>
  <c r="X321" i="31"/>
  <c r="B321" i="31"/>
  <c r="AT320" i="31" s="1"/>
  <c r="A286" i="31"/>
  <c r="F332" i="31"/>
  <c r="B366" i="31"/>
  <c r="AT365" i="31" s="1"/>
  <c r="A329" i="31"/>
  <c r="A341" i="31"/>
  <c r="X318" i="31"/>
  <c r="W281" i="31"/>
  <c r="Y320" i="30"/>
  <c r="Z320" i="30" s="1"/>
  <c r="AC322" i="30" s="1"/>
  <c r="AC324" i="30" s="1"/>
  <c r="AC320" i="30" s="1"/>
  <c r="AF320" i="30" s="1"/>
  <c r="AU323" i="30" s="1"/>
  <c r="T255" i="30"/>
  <c r="R255" i="30"/>
  <c r="R170" i="30"/>
  <c r="R171" i="30" s="1"/>
  <c r="R172" i="30" s="1"/>
  <c r="T164" i="30" s="1"/>
  <c r="W164" i="30" s="1"/>
  <c r="Z164" i="30" s="1"/>
  <c r="AC164" i="30" s="1"/>
  <c r="AF164" i="30" s="1"/>
  <c r="AU164" i="30" s="1"/>
  <c r="AX4" i="30" s="1"/>
  <c r="Q170" i="30"/>
  <c r="O171" i="30" s="1"/>
  <c r="O172" i="30" s="1"/>
  <c r="Q166" i="30" s="1"/>
  <c r="T166" i="30" s="1"/>
  <c r="W166" i="30" s="1"/>
  <c r="Z166" i="30" s="1"/>
  <c r="AC166" i="30" s="1"/>
  <c r="AF166" i="30" s="1"/>
  <c r="AU166" i="30" s="1"/>
  <c r="AX10" i="30" s="1"/>
  <c r="C321" i="30"/>
  <c r="D322" i="30" s="1"/>
  <c r="D324" i="30" s="1"/>
  <c r="D321" i="30" s="1"/>
  <c r="G321" i="30" s="1"/>
  <c r="J321" i="30" s="1"/>
  <c r="AU320" i="30" s="1"/>
  <c r="AY8" i="30" s="1"/>
  <c r="AW7" i="31" s="1"/>
  <c r="C165" i="31" s="1"/>
  <c r="B170" i="31" s="1"/>
  <c r="C318" i="30"/>
  <c r="B322" i="30" s="1"/>
  <c r="B324" i="30" s="1"/>
  <c r="D318" i="30" s="1"/>
  <c r="G318" i="30" s="1"/>
  <c r="J318" i="30" s="1"/>
  <c r="AU317" i="30" s="1"/>
  <c r="AY3" i="30" s="1"/>
  <c r="AW3" i="31" s="1"/>
  <c r="C79" i="31" s="1"/>
  <c r="D79" i="31" s="1"/>
  <c r="E85" i="31" s="1"/>
  <c r="O256" i="30"/>
  <c r="O257" i="30" s="1"/>
  <c r="Q250" i="30" s="1"/>
  <c r="T250" i="30" s="1"/>
  <c r="U255" i="30" s="1"/>
  <c r="C72" i="25"/>
  <c r="D71" i="25"/>
  <c r="D222" i="25"/>
  <c r="C223" i="25"/>
  <c r="D142" i="25"/>
  <c r="C143" i="25"/>
  <c r="C362" i="25"/>
  <c r="D361" i="25"/>
  <c r="C402" i="25"/>
  <c r="D401" i="25"/>
  <c r="D294" i="25"/>
  <c r="C295" i="25"/>
  <c r="D17" i="25"/>
  <c r="C18" i="25"/>
  <c r="C56" i="41" l="1"/>
  <c r="D56" i="41" s="1"/>
  <c r="D148" i="41"/>
  <c r="C150" i="41"/>
  <c r="D10" i="41"/>
  <c r="D143" i="40"/>
  <c r="D144" i="40" s="1"/>
  <c r="D145" i="40" s="1"/>
  <c r="D146" i="40" s="1"/>
  <c r="D147" i="40" s="1"/>
  <c r="C144" i="40"/>
  <c r="C145" i="40" s="1"/>
  <c r="C146" i="40" s="1"/>
  <c r="C147" i="40" s="1"/>
  <c r="C148" i="40" s="1"/>
  <c r="D225" i="40"/>
  <c r="C226" i="40"/>
  <c r="D295" i="40"/>
  <c r="D296" i="40" s="1"/>
  <c r="C296" i="40"/>
  <c r="C297" i="40" s="1"/>
  <c r="D400" i="40"/>
  <c r="C401" i="40"/>
  <c r="C88" i="40"/>
  <c r="D87" i="40"/>
  <c r="C19" i="40"/>
  <c r="D18" i="40"/>
  <c r="D353" i="40"/>
  <c r="D354" i="40" s="1"/>
  <c r="C354" i="40"/>
  <c r="C355" i="40" s="1"/>
  <c r="G171" i="19"/>
  <c r="G172" i="19" s="1"/>
  <c r="G166" i="19" s="1"/>
  <c r="J170" i="19" s="1"/>
  <c r="AW10" i="19"/>
  <c r="C251" i="19" s="1"/>
  <c r="D251" i="19" s="1"/>
  <c r="G255" i="19" s="1"/>
  <c r="AY10" i="18"/>
  <c r="D171" i="19"/>
  <c r="D172" i="19" s="1"/>
  <c r="D165" i="19" s="1"/>
  <c r="E170" i="19" s="1"/>
  <c r="E171" i="19" s="1"/>
  <c r="E172" i="19" s="1"/>
  <c r="G165" i="19" s="1"/>
  <c r="J165" i="19" s="1"/>
  <c r="M165" i="19" s="1"/>
  <c r="P165" i="19" s="1"/>
  <c r="S165" i="19" s="1"/>
  <c r="V165" i="19" s="1"/>
  <c r="Y165" i="19" s="1"/>
  <c r="AB165" i="19" s="1"/>
  <c r="AE165" i="19" s="1"/>
  <c r="AU165" i="19" s="1"/>
  <c r="AX6" i="19" s="1"/>
  <c r="AY6" i="19" s="1"/>
  <c r="B171" i="19"/>
  <c r="B172" i="19" s="1"/>
  <c r="D164" i="19" s="1"/>
  <c r="G164" i="19" s="1"/>
  <c r="H170" i="19" s="1"/>
  <c r="H171" i="19" s="1"/>
  <c r="H172" i="19" s="1"/>
  <c r="J164" i="19" s="1"/>
  <c r="M164" i="19" s="1"/>
  <c r="P164" i="19" s="1"/>
  <c r="S164" i="19" s="1"/>
  <c r="V164" i="19" s="1"/>
  <c r="Y164" i="19" s="1"/>
  <c r="AB164" i="19" s="1"/>
  <c r="AE164" i="19" s="1"/>
  <c r="AU164" i="19" s="1"/>
  <c r="AX8" i="19" s="1"/>
  <c r="AY8" i="19" s="1"/>
  <c r="D86" i="19"/>
  <c r="D87" i="19" s="1"/>
  <c r="D80" i="19" s="1"/>
  <c r="E85" i="19" s="1"/>
  <c r="E86" i="19" s="1"/>
  <c r="E87" i="19" s="1"/>
  <c r="G80" i="19" s="1"/>
  <c r="J80" i="19" s="1"/>
  <c r="M80" i="19" s="1"/>
  <c r="P80" i="19" s="1"/>
  <c r="S80" i="19" s="1"/>
  <c r="V80" i="19" s="1"/>
  <c r="Y80" i="19" s="1"/>
  <c r="AB80" i="19" s="1"/>
  <c r="AE80" i="19" s="1"/>
  <c r="AU80" i="19" s="1"/>
  <c r="AX4" i="19" s="1"/>
  <c r="AY4" i="19" s="1"/>
  <c r="D256" i="19"/>
  <c r="D257" i="19" s="1"/>
  <c r="D250" i="19" s="1"/>
  <c r="E255" i="19" s="1"/>
  <c r="B256" i="19"/>
  <c r="B257" i="19" s="1"/>
  <c r="D249" i="19" s="1"/>
  <c r="G249" i="19" s="1"/>
  <c r="H255" i="19" s="1"/>
  <c r="AT324" i="31"/>
  <c r="Y321" i="31"/>
  <c r="Z322" i="31" s="1"/>
  <c r="Z324" i="31" s="1"/>
  <c r="Z321" i="31" s="1"/>
  <c r="AC321" i="31" s="1"/>
  <c r="AF321" i="31" s="1"/>
  <c r="AU324" i="31" s="1"/>
  <c r="AT321" i="31"/>
  <c r="Y318" i="31"/>
  <c r="X322" i="31" s="1"/>
  <c r="X324" i="31" s="1"/>
  <c r="Z318" i="31" s="1"/>
  <c r="AC318" i="31" s="1"/>
  <c r="AF318" i="31" s="1"/>
  <c r="AU321" i="31" s="1"/>
  <c r="Y320" i="31"/>
  <c r="Z320" i="31" s="1"/>
  <c r="AC322" i="31" s="1"/>
  <c r="AC324" i="31" s="1"/>
  <c r="AC320" i="31" s="1"/>
  <c r="AF320" i="31" s="1"/>
  <c r="AU323" i="31" s="1"/>
  <c r="AT323" i="31"/>
  <c r="AT322" i="31"/>
  <c r="Y319" i="31"/>
  <c r="Z319" i="31" s="1"/>
  <c r="AA322" i="31" s="1"/>
  <c r="AA324" i="31" s="1"/>
  <c r="AC319" i="31" s="1"/>
  <c r="AF319" i="31" s="1"/>
  <c r="AU322" i="31" s="1"/>
  <c r="W250" i="30"/>
  <c r="Z250" i="30" s="1"/>
  <c r="AC250" i="30" s="1"/>
  <c r="AF250" i="30" s="1"/>
  <c r="AU250" i="30" s="1"/>
  <c r="AX6" i="30" s="1"/>
  <c r="T256" i="30"/>
  <c r="T257" i="30" s="1"/>
  <c r="T251" i="30" s="1"/>
  <c r="R256" i="30"/>
  <c r="R257" i="30" s="1"/>
  <c r="T249" i="30" s="1"/>
  <c r="W249" i="30" s="1"/>
  <c r="C368" i="30"/>
  <c r="D368" i="30" s="1"/>
  <c r="G370" i="30" s="1"/>
  <c r="G372" i="30" s="1"/>
  <c r="G368" i="30" s="1"/>
  <c r="J368" i="30" s="1"/>
  <c r="AU367" i="30" s="1"/>
  <c r="AY10" i="30" s="1"/>
  <c r="AW6" i="31" s="1"/>
  <c r="C250" i="31" s="1"/>
  <c r="D250" i="31" s="1"/>
  <c r="E255" i="31" s="1"/>
  <c r="C319" i="30"/>
  <c r="D319" i="30" s="1"/>
  <c r="E322" i="30" s="1"/>
  <c r="E324" i="30" s="1"/>
  <c r="G319" i="30" s="1"/>
  <c r="J319" i="30" s="1"/>
  <c r="AU318" i="30" s="1"/>
  <c r="AY4" i="30" s="1"/>
  <c r="AW8" i="31" s="1"/>
  <c r="C80" i="31" s="1"/>
  <c r="B85" i="31" s="1"/>
  <c r="T171" i="30"/>
  <c r="T172" i="30" s="1"/>
  <c r="T165" i="30" s="1"/>
  <c r="W165" i="30" s="1"/>
  <c r="Z165" i="30" s="1"/>
  <c r="AC165" i="30" s="1"/>
  <c r="AF165" i="30" s="1"/>
  <c r="AU165" i="30" s="1"/>
  <c r="AX7" i="30" s="1"/>
  <c r="Q171" i="30"/>
  <c r="Q172" i="30" s="1"/>
  <c r="Q167" i="30" s="1"/>
  <c r="T167" i="30" s="1"/>
  <c r="W167" i="30" s="1"/>
  <c r="Z167" i="30" s="1"/>
  <c r="AC167" i="30" s="1"/>
  <c r="AF167" i="30" s="1"/>
  <c r="AU167" i="30" s="1"/>
  <c r="AX12" i="30" s="1"/>
  <c r="C363" i="25"/>
  <c r="D362" i="25"/>
  <c r="D18" i="25"/>
  <c r="C19" i="25"/>
  <c r="C144" i="25"/>
  <c r="C145" i="25" s="1"/>
  <c r="C146" i="25" s="1"/>
  <c r="C147" i="25" s="1"/>
  <c r="C148" i="25" s="1"/>
  <c r="D143" i="25"/>
  <c r="D144" i="25" s="1"/>
  <c r="D145" i="25" s="1"/>
  <c r="D146" i="25" s="1"/>
  <c r="D147" i="25" s="1"/>
  <c r="C296" i="25"/>
  <c r="C297" i="25" s="1"/>
  <c r="D295" i="25"/>
  <c r="D296" i="25" s="1"/>
  <c r="C224" i="25"/>
  <c r="D223" i="25"/>
  <c r="C403" i="25"/>
  <c r="D402" i="25"/>
  <c r="D72" i="25"/>
  <c r="D73" i="25" s="1"/>
  <c r="D74" i="25" s="1"/>
  <c r="D75" i="25" s="1"/>
  <c r="D76" i="25" s="1"/>
  <c r="D77" i="25" s="1"/>
  <c r="D78" i="25" s="1"/>
  <c r="D79" i="25" s="1"/>
  <c r="D80" i="25" s="1"/>
  <c r="D81" i="25" s="1"/>
  <c r="D82" i="25" s="1"/>
  <c r="D83" i="25" s="1"/>
  <c r="D84" i="25" s="1"/>
  <c r="D85" i="25" s="1"/>
  <c r="C73" i="25"/>
  <c r="C74" i="25" s="1"/>
  <c r="C75" i="25" s="1"/>
  <c r="C76" i="25" s="1"/>
  <c r="C77" i="25" s="1"/>
  <c r="C78" i="25" s="1"/>
  <c r="C79" i="25" s="1"/>
  <c r="C80" i="25" s="1"/>
  <c r="C81" i="25" s="1"/>
  <c r="C82" i="25" s="1"/>
  <c r="C83" i="25" s="1"/>
  <c r="C84" i="25" s="1"/>
  <c r="C85" i="25" s="1"/>
  <c r="C86" i="25" s="1"/>
  <c r="C57" i="41" l="1"/>
  <c r="D150" i="41"/>
  <c r="D401" i="40"/>
  <c r="C402" i="40"/>
  <c r="D297" i="40"/>
  <c r="C298" i="40"/>
  <c r="D226" i="40"/>
  <c r="C227" i="40"/>
  <c r="C356" i="40"/>
  <c r="D355" i="40"/>
  <c r="D19" i="40"/>
  <c r="C20" i="40"/>
  <c r="D148" i="40"/>
  <c r="C149" i="40"/>
  <c r="C89" i="40"/>
  <c r="D88" i="40"/>
  <c r="G256" i="19"/>
  <c r="G257" i="19" s="1"/>
  <c r="G251" i="19" s="1"/>
  <c r="J255" i="19" s="1"/>
  <c r="J256" i="19" s="1"/>
  <c r="J257" i="19" s="1"/>
  <c r="J251" i="19" s="1"/>
  <c r="M251" i="19" s="1"/>
  <c r="P251" i="19" s="1"/>
  <c r="S251" i="19" s="1"/>
  <c r="V251" i="19" s="1"/>
  <c r="Y251" i="19" s="1"/>
  <c r="AB251" i="19" s="1"/>
  <c r="AE251" i="19" s="1"/>
  <c r="AU251" i="19" s="1"/>
  <c r="AX10" i="19" s="1"/>
  <c r="AY10" i="19" s="1"/>
  <c r="G86" i="19"/>
  <c r="G87" i="19" s="1"/>
  <c r="G81" i="19" s="1"/>
  <c r="J85" i="19" s="1"/>
  <c r="J171" i="19"/>
  <c r="J172" i="19" s="1"/>
  <c r="J166" i="19" s="1"/>
  <c r="M166" i="19" s="1"/>
  <c r="P166" i="19" s="1"/>
  <c r="S166" i="19" s="1"/>
  <c r="V166" i="19" s="1"/>
  <c r="Y166" i="19" s="1"/>
  <c r="AB166" i="19" s="1"/>
  <c r="AE166" i="19" s="1"/>
  <c r="AU166" i="19" s="1"/>
  <c r="AX9" i="19" s="1"/>
  <c r="AY9" i="19" s="1"/>
  <c r="H256" i="19"/>
  <c r="H257" i="19" s="1"/>
  <c r="J249" i="19" s="1"/>
  <c r="M249" i="19" s="1"/>
  <c r="P249" i="19" s="1"/>
  <c r="S249" i="19" s="1"/>
  <c r="V249" i="19" s="1"/>
  <c r="Y249" i="19" s="1"/>
  <c r="AB249" i="19" s="1"/>
  <c r="AE249" i="19" s="1"/>
  <c r="AU249" i="19" s="1"/>
  <c r="AX7" i="19" s="1"/>
  <c r="AY7" i="19" s="1"/>
  <c r="E256" i="19"/>
  <c r="E257" i="19" s="1"/>
  <c r="G250" i="19" s="1"/>
  <c r="J250" i="19" s="1"/>
  <c r="M250" i="19" s="1"/>
  <c r="P250" i="19" s="1"/>
  <c r="S250" i="19" s="1"/>
  <c r="V250" i="19" s="1"/>
  <c r="Y250" i="19" s="1"/>
  <c r="AB250" i="19" s="1"/>
  <c r="AE250" i="19" s="1"/>
  <c r="AU250" i="19" s="1"/>
  <c r="AX3" i="19" s="1"/>
  <c r="AY3" i="19" s="1"/>
  <c r="J86" i="19"/>
  <c r="J87" i="19" s="1"/>
  <c r="J81" i="19" s="1"/>
  <c r="M81" i="19" s="1"/>
  <c r="P81" i="19" s="1"/>
  <c r="S81" i="19" s="1"/>
  <c r="V81" i="19" s="1"/>
  <c r="Y81" i="19" s="1"/>
  <c r="AB81" i="19" s="1"/>
  <c r="AE81" i="19" s="1"/>
  <c r="AU81" i="19" s="1"/>
  <c r="AX5" i="19" s="1"/>
  <c r="AY5" i="19" s="1"/>
  <c r="H86" i="19"/>
  <c r="H87" i="19" s="1"/>
  <c r="J79" i="19" s="1"/>
  <c r="M79" i="19" s="1"/>
  <c r="P79" i="19" s="1"/>
  <c r="S79" i="19" s="1"/>
  <c r="V79" i="19" s="1"/>
  <c r="Y79" i="19" s="1"/>
  <c r="AB79" i="19" s="1"/>
  <c r="AE79" i="19" s="1"/>
  <c r="AU79" i="19" s="1"/>
  <c r="AX11" i="19" s="1"/>
  <c r="AY11" i="19" s="1"/>
  <c r="Y321" i="30"/>
  <c r="Z322" i="30" s="1"/>
  <c r="Z324" i="30" s="1"/>
  <c r="Z321" i="30" s="1"/>
  <c r="AC321" i="30" s="1"/>
  <c r="AF321" i="30" s="1"/>
  <c r="AU324" i="30" s="1"/>
  <c r="AY6" i="30" s="1"/>
  <c r="AW13" i="31" s="1"/>
  <c r="C82" i="31" s="1"/>
  <c r="D82" i="31" s="1"/>
  <c r="G85" i="31" s="1"/>
  <c r="AF255" i="30"/>
  <c r="X255" i="30"/>
  <c r="Z249" i="30"/>
  <c r="AC249" i="30" s="1"/>
  <c r="W255" i="30"/>
  <c r="W251" i="30"/>
  <c r="Z251" i="30" s="1"/>
  <c r="Y319" i="30"/>
  <c r="Z319" i="30" s="1"/>
  <c r="AA322" i="30" s="1"/>
  <c r="AA324" i="30" s="1"/>
  <c r="AC319" i="30" s="1"/>
  <c r="AF319" i="30" s="1"/>
  <c r="AU322" i="30" s="1"/>
  <c r="AY12" i="30" s="1"/>
  <c r="AW4" i="31" s="1"/>
  <c r="C164" i="31" s="1"/>
  <c r="D164" i="31" s="1"/>
  <c r="E170" i="31" s="1"/>
  <c r="C366" i="30"/>
  <c r="B370" i="30" s="1"/>
  <c r="B372" i="30" s="1"/>
  <c r="D366" i="30" s="1"/>
  <c r="G366" i="30" s="1"/>
  <c r="H370" i="30" s="1"/>
  <c r="H372" i="30" s="1"/>
  <c r="J366" i="30" s="1"/>
  <c r="AU365" i="30" s="1"/>
  <c r="AY9" i="30" s="1"/>
  <c r="AW10" i="31" s="1"/>
  <c r="C166" i="31" s="1"/>
  <c r="D170" i="31" s="1"/>
  <c r="C298" i="25"/>
  <c r="D297" i="25"/>
  <c r="D86" i="25"/>
  <c r="C87" i="25"/>
  <c r="C149" i="25"/>
  <c r="D148" i="25"/>
  <c r="C20" i="25"/>
  <c r="D19" i="25"/>
  <c r="D403" i="25"/>
  <c r="C404" i="25"/>
  <c r="C225" i="25"/>
  <c r="D224" i="25"/>
  <c r="D363" i="25"/>
  <c r="C364" i="25"/>
  <c r="C58" i="41" l="1"/>
  <c r="D57" i="41"/>
  <c r="D356" i="40"/>
  <c r="C357" i="40"/>
  <c r="C150" i="40"/>
  <c r="D149" i="40"/>
  <c r="D298" i="40"/>
  <c r="D299" i="40" s="1"/>
  <c r="D300" i="40" s="1"/>
  <c r="D301" i="40" s="1"/>
  <c r="D302" i="40" s="1"/>
  <c r="D303" i="40" s="1"/>
  <c r="C299" i="40"/>
  <c r="C300" i="40" s="1"/>
  <c r="C301" i="40" s="1"/>
  <c r="C302" i="40" s="1"/>
  <c r="C303" i="40" s="1"/>
  <c r="C304" i="40" s="1"/>
  <c r="C228" i="40"/>
  <c r="D227" i="40"/>
  <c r="C21" i="40"/>
  <c r="D20" i="40"/>
  <c r="D402" i="40"/>
  <c r="C403" i="40"/>
  <c r="C90" i="40"/>
  <c r="D89" i="40"/>
  <c r="G86" i="31"/>
  <c r="G87" i="31" s="1"/>
  <c r="G82" i="31" s="1"/>
  <c r="J85" i="31" s="1"/>
  <c r="E86" i="31"/>
  <c r="E87" i="31" s="1"/>
  <c r="G79" i="31" s="1"/>
  <c r="J79" i="31" s="1"/>
  <c r="L85" i="31" s="1"/>
  <c r="D171" i="31"/>
  <c r="D172" i="31" s="1"/>
  <c r="D166" i="31" s="1"/>
  <c r="G166" i="31" s="1"/>
  <c r="J166" i="31" s="1"/>
  <c r="N170" i="31" s="1"/>
  <c r="B171" i="31"/>
  <c r="B172" i="31" s="1"/>
  <c r="D165" i="31" s="1"/>
  <c r="G165" i="31" s="1"/>
  <c r="H170" i="31" s="1"/>
  <c r="AC251" i="30"/>
  <c r="AF251" i="30" s="1"/>
  <c r="AU251" i="30" s="1"/>
  <c r="AX11" i="30" s="1"/>
  <c r="AA255" i="30"/>
  <c r="U256" i="30"/>
  <c r="U257" i="30" s="1"/>
  <c r="W256" i="30"/>
  <c r="W257" i="30" s="1"/>
  <c r="AD255" i="30"/>
  <c r="AF249" i="30"/>
  <c r="AU249" i="30" s="1"/>
  <c r="AX5" i="30" s="1"/>
  <c r="X256" i="30"/>
  <c r="X257" i="30" s="1"/>
  <c r="Z256" i="30"/>
  <c r="Z257" i="30" s="1"/>
  <c r="AY7" i="30"/>
  <c r="AW5" i="31" s="1"/>
  <c r="C249" i="31" s="1"/>
  <c r="B255" i="31" s="1"/>
  <c r="C21" i="25"/>
  <c r="D20" i="25"/>
  <c r="C365" i="25"/>
  <c r="D364" i="25"/>
  <c r="D149" i="25"/>
  <c r="C150" i="25"/>
  <c r="C88" i="25"/>
  <c r="D87" i="25"/>
  <c r="C226" i="25"/>
  <c r="D225" i="25"/>
  <c r="C405" i="25"/>
  <c r="C406" i="25" s="1"/>
  <c r="C407" i="25" s="1"/>
  <c r="C408" i="25" s="1"/>
  <c r="C409" i="25" s="1"/>
  <c r="C410" i="25" s="1"/>
  <c r="C411" i="25" s="1"/>
  <c r="C412" i="25" s="1"/>
  <c r="D404" i="25"/>
  <c r="D405" i="25" s="1"/>
  <c r="D406" i="25" s="1"/>
  <c r="D407" i="25" s="1"/>
  <c r="D408" i="25" s="1"/>
  <c r="D409" i="25" s="1"/>
  <c r="D410" i="25" s="1"/>
  <c r="D411" i="25" s="1"/>
  <c r="C299" i="25"/>
  <c r="C300" i="25" s="1"/>
  <c r="C301" i="25" s="1"/>
  <c r="C302" i="25" s="1"/>
  <c r="C303" i="25" s="1"/>
  <c r="C304" i="25" s="1"/>
  <c r="D298" i="25"/>
  <c r="D299" i="25" s="1"/>
  <c r="D300" i="25" s="1"/>
  <c r="D301" i="25" s="1"/>
  <c r="D302" i="25" s="1"/>
  <c r="D303" i="25" s="1"/>
  <c r="D58" i="41" l="1"/>
  <c r="C59" i="41"/>
  <c r="D59" i="41" s="1"/>
  <c r="C254" i="41"/>
  <c r="C255" i="41" s="1"/>
  <c r="D228" i="40"/>
  <c r="D229" i="40" s="1"/>
  <c r="D230" i="40" s="1"/>
  <c r="D231" i="40" s="1"/>
  <c r="C229" i="40"/>
  <c r="C230" i="40" s="1"/>
  <c r="C231" i="40" s="1"/>
  <c r="C232" i="40" s="1"/>
  <c r="D304" i="40"/>
  <c r="C305" i="40"/>
  <c r="D90" i="40"/>
  <c r="C91" i="40"/>
  <c r="C358" i="40"/>
  <c r="D357" i="40"/>
  <c r="D403" i="40"/>
  <c r="C404" i="40"/>
  <c r="D150" i="40"/>
  <c r="D151" i="40" s="1"/>
  <c r="D152" i="40" s="1"/>
  <c r="D153" i="40" s="1"/>
  <c r="D154" i="40" s="1"/>
  <c r="D155" i="40" s="1"/>
  <c r="C151" i="40"/>
  <c r="C152" i="40" s="1"/>
  <c r="C153" i="40" s="1"/>
  <c r="C154" i="40" s="1"/>
  <c r="C155" i="40" s="1"/>
  <c r="C156" i="40" s="1"/>
  <c r="D21" i="40"/>
  <c r="C22" i="40"/>
  <c r="B256" i="31"/>
  <c r="B257" i="31" s="1"/>
  <c r="D249" i="31" s="1"/>
  <c r="G249" i="31" s="1"/>
  <c r="H255" i="31" s="1"/>
  <c r="D256" i="31"/>
  <c r="D257" i="31" s="1"/>
  <c r="D251" i="31" s="1"/>
  <c r="G255" i="31" s="1"/>
  <c r="C320" i="30"/>
  <c r="D320" i="30" s="1"/>
  <c r="G322" i="30" s="1"/>
  <c r="G324" i="30" s="1"/>
  <c r="G320" i="30" s="1"/>
  <c r="J320" i="30" s="1"/>
  <c r="AU319" i="30" s="1"/>
  <c r="AY11" i="30" s="1"/>
  <c r="AW9" i="31" s="1"/>
  <c r="C81" i="31" s="1"/>
  <c r="D85" i="31" s="1"/>
  <c r="Y318" i="30"/>
  <c r="X322" i="30" s="1"/>
  <c r="X324" i="30" s="1"/>
  <c r="Z318" i="30" s="1"/>
  <c r="AC318" i="30" s="1"/>
  <c r="AF318" i="30" s="1"/>
  <c r="AU321" i="30" s="1"/>
  <c r="AY5" i="30" s="1"/>
  <c r="AW12" i="31" s="1"/>
  <c r="C167" i="31" s="1"/>
  <c r="D167" i="31" s="1"/>
  <c r="G170" i="31" s="1"/>
  <c r="AD256" i="30"/>
  <c r="AD257" i="30" s="1"/>
  <c r="AF256" i="30"/>
  <c r="AF257" i="30" s="1"/>
  <c r="AC256" i="30"/>
  <c r="AC257" i="30" s="1"/>
  <c r="AA256" i="30"/>
  <c r="AA257" i="30" s="1"/>
  <c r="C89" i="25"/>
  <c r="D88" i="25"/>
  <c r="D150" i="25"/>
  <c r="D151" i="25" s="1"/>
  <c r="D152" i="25" s="1"/>
  <c r="D153" i="25" s="1"/>
  <c r="D154" i="25" s="1"/>
  <c r="D155" i="25" s="1"/>
  <c r="C151" i="25"/>
  <c r="C152" i="25" s="1"/>
  <c r="C153" i="25" s="1"/>
  <c r="C154" i="25" s="1"/>
  <c r="C155" i="25" s="1"/>
  <c r="C156" i="25" s="1"/>
  <c r="C305" i="25"/>
  <c r="D304" i="25"/>
  <c r="C413" i="25"/>
  <c r="D412" i="25"/>
  <c r="C366" i="25"/>
  <c r="D365" i="25"/>
  <c r="D226" i="25"/>
  <c r="C227" i="25"/>
  <c r="C22" i="25"/>
  <c r="D21" i="25"/>
  <c r="D255" i="41" l="1"/>
  <c r="D256" i="41" s="1"/>
  <c r="D257" i="41" s="1"/>
  <c r="D258" i="41" s="1"/>
  <c r="C256" i="41"/>
  <c r="C257" i="41" s="1"/>
  <c r="C258" i="41" s="1"/>
  <c r="C259" i="41" s="1"/>
  <c r="D61" i="41"/>
  <c r="C60" i="41"/>
  <c r="C61" i="41" s="1"/>
  <c r="D254" i="41"/>
  <c r="C359" i="40"/>
  <c r="C360" i="40" s="1"/>
  <c r="C361" i="40" s="1"/>
  <c r="D358" i="40"/>
  <c r="D359" i="40" s="1"/>
  <c r="D360" i="40" s="1"/>
  <c r="D22" i="40"/>
  <c r="C23" i="40"/>
  <c r="D156" i="40"/>
  <c r="C157" i="40"/>
  <c r="D305" i="40"/>
  <c r="D306" i="40" s="1"/>
  <c r="D307" i="40" s="1"/>
  <c r="D308" i="40" s="1"/>
  <c r="C306" i="40"/>
  <c r="C307" i="40" s="1"/>
  <c r="C308" i="40" s="1"/>
  <c r="C309" i="40" s="1"/>
  <c r="D232" i="40"/>
  <c r="C233" i="40"/>
  <c r="C92" i="40"/>
  <c r="D91" i="40"/>
  <c r="D404" i="40"/>
  <c r="D405" i="40" s="1"/>
  <c r="D406" i="40" s="1"/>
  <c r="D407" i="40" s="1"/>
  <c r="D408" i="40" s="1"/>
  <c r="D409" i="40" s="1"/>
  <c r="D410" i="40" s="1"/>
  <c r="D411" i="40" s="1"/>
  <c r="C405" i="40"/>
  <c r="C406" i="40" s="1"/>
  <c r="C407" i="40" s="1"/>
  <c r="C408" i="40" s="1"/>
  <c r="C409" i="40" s="1"/>
  <c r="C410" i="40" s="1"/>
  <c r="C411" i="40" s="1"/>
  <c r="C412" i="40" s="1"/>
  <c r="D86" i="31"/>
  <c r="D87" i="31" s="1"/>
  <c r="D81" i="31" s="1"/>
  <c r="G81" i="31" s="1"/>
  <c r="J81" i="31" s="1"/>
  <c r="N85" i="31" s="1"/>
  <c r="B86" i="31"/>
  <c r="B87" i="31" s="1"/>
  <c r="D80" i="31" s="1"/>
  <c r="G80" i="31" s="1"/>
  <c r="H85" i="31" s="1"/>
  <c r="G171" i="31"/>
  <c r="G172" i="31" s="1"/>
  <c r="G167" i="31" s="1"/>
  <c r="J170" i="31" s="1"/>
  <c r="E171" i="31"/>
  <c r="E172" i="31" s="1"/>
  <c r="G164" i="31" s="1"/>
  <c r="J164" i="31" s="1"/>
  <c r="L170" i="31" s="1"/>
  <c r="G256" i="31"/>
  <c r="G257" i="31" s="1"/>
  <c r="G251" i="31" s="1"/>
  <c r="J251" i="31" s="1"/>
  <c r="N255" i="31" s="1"/>
  <c r="E256" i="31"/>
  <c r="E257" i="31" s="1"/>
  <c r="G250" i="31" s="1"/>
  <c r="J255" i="31" s="1"/>
  <c r="J256" i="31" s="1"/>
  <c r="J257" i="31" s="1"/>
  <c r="J250" i="31" s="1"/>
  <c r="N250" i="31" s="1"/>
  <c r="O255" i="31" s="1"/>
  <c r="D413" i="25"/>
  <c r="C414" i="25"/>
  <c r="D22" i="25"/>
  <c r="C23" i="25"/>
  <c r="D305" i="25"/>
  <c r="D306" i="25" s="1"/>
  <c r="D307" i="25" s="1"/>
  <c r="D308" i="25" s="1"/>
  <c r="C306" i="25"/>
  <c r="C307" i="25" s="1"/>
  <c r="C308" i="25" s="1"/>
  <c r="C309" i="25" s="1"/>
  <c r="C157" i="25"/>
  <c r="D156" i="25"/>
  <c r="D227" i="25"/>
  <c r="C228" i="25"/>
  <c r="D366" i="25"/>
  <c r="C367" i="25"/>
  <c r="C90" i="25"/>
  <c r="D89" i="25"/>
  <c r="D259" i="41" l="1"/>
  <c r="C260" i="41"/>
  <c r="D60" i="41"/>
  <c r="C62" i="41"/>
  <c r="C310" i="40"/>
  <c r="D309" i="40"/>
  <c r="C24" i="40"/>
  <c r="D23" i="40"/>
  <c r="C158" i="40"/>
  <c r="D157" i="40"/>
  <c r="D412" i="40"/>
  <c r="C413" i="40"/>
  <c r="D92" i="40"/>
  <c r="C93" i="40"/>
  <c r="D233" i="40"/>
  <c r="C234" i="40"/>
  <c r="D361" i="40"/>
  <c r="C362" i="40"/>
  <c r="H86" i="31"/>
  <c r="H87" i="31" s="1"/>
  <c r="J80" i="31" s="1"/>
  <c r="N80" i="31" s="1"/>
  <c r="Q80" i="31" s="1"/>
  <c r="T85" i="31" s="1"/>
  <c r="T86" i="31" s="1"/>
  <c r="T87" i="31" s="1"/>
  <c r="T80" i="31" s="1"/>
  <c r="W80" i="31" s="1"/>
  <c r="Z80" i="31" s="1"/>
  <c r="AC80" i="31" s="1"/>
  <c r="AF80" i="31" s="1"/>
  <c r="AU80" i="31" s="1"/>
  <c r="AX8" i="31" s="1"/>
  <c r="AY8" i="31" s="1"/>
  <c r="J86" i="31"/>
  <c r="J87" i="31" s="1"/>
  <c r="J82" i="31" s="1"/>
  <c r="N82" i="31" s="1"/>
  <c r="Q85" i="31" s="1"/>
  <c r="N86" i="31"/>
  <c r="N87" i="31" s="1"/>
  <c r="N81" i="31" s="1"/>
  <c r="O85" i="31" s="1"/>
  <c r="L86" i="31"/>
  <c r="L87" i="31" s="1"/>
  <c r="N79" i="31" s="1"/>
  <c r="Q79" i="31" s="1"/>
  <c r="R85" i="31" s="1"/>
  <c r="H256" i="31"/>
  <c r="H257" i="31" s="1"/>
  <c r="J249" i="31" s="1"/>
  <c r="L255" i="31" s="1"/>
  <c r="L171" i="31"/>
  <c r="L172" i="31" s="1"/>
  <c r="N164" i="31" s="1"/>
  <c r="Q164" i="31" s="1"/>
  <c r="R170" i="31" s="1"/>
  <c r="N171" i="31"/>
  <c r="N172" i="31" s="1"/>
  <c r="N166" i="31" s="1"/>
  <c r="O170" i="31" s="1"/>
  <c r="J171" i="31"/>
  <c r="J172" i="31" s="1"/>
  <c r="J167" i="31" s="1"/>
  <c r="N167" i="31" s="1"/>
  <c r="Q170" i="31" s="1"/>
  <c r="Q171" i="31" s="1"/>
  <c r="Q172" i="31" s="1"/>
  <c r="Q167" i="31" s="1"/>
  <c r="T167" i="31" s="1"/>
  <c r="W167" i="31" s="1"/>
  <c r="Z167" i="31" s="1"/>
  <c r="AC167" i="31" s="1"/>
  <c r="AF167" i="31" s="1"/>
  <c r="AU167" i="31" s="1"/>
  <c r="AX12" i="31" s="1"/>
  <c r="AY12" i="31" s="1"/>
  <c r="H171" i="31"/>
  <c r="H172" i="31" s="1"/>
  <c r="J165" i="31" s="1"/>
  <c r="N165" i="31" s="1"/>
  <c r="Q165" i="31" s="1"/>
  <c r="T170" i="31" s="1"/>
  <c r="T171" i="31" s="1"/>
  <c r="T172" i="31" s="1"/>
  <c r="T165" i="31" s="1"/>
  <c r="W165" i="31" s="1"/>
  <c r="Z165" i="31" s="1"/>
  <c r="AC165" i="31" s="1"/>
  <c r="AF165" i="31" s="1"/>
  <c r="AU165" i="31" s="1"/>
  <c r="AX7" i="31" s="1"/>
  <c r="AY7" i="31" s="1"/>
  <c r="C158" i="25"/>
  <c r="D157" i="25"/>
  <c r="C310" i="25"/>
  <c r="D309" i="25"/>
  <c r="D90" i="25"/>
  <c r="C91" i="25"/>
  <c r="C368" i="25"/>
  <c r="D367" i="25"/>
  <c r="D23" i="25"/>
  <c r="C24" i="25"/>
  <c r="D228" i="25"/>
  <c r="D229" i="25" s="1"/>
  <c r="D230" i="25" s="1"/>
  <c r="D231" i="25" s="1"/>
  <c r="C229" i="25"/>
  <c r="C230" i="25" s="1"/>
  <c r="C231" i="25" s="1"/>
  <c r="C232" i="25" s="1"/>
  <c r="D414" i="25"/>
  <c r="D415" i="25" s="1"/>
  <c r="D416" i="25" s="1"/>
  <c r="C415" i="25"/>
  <c r="C416" i="25" s="1"/>
  <c r="C417" i="25" s="1"/>
  <c r="C261" i="41" l="1"/>
  <c r="D260" i="41"/>
  <c r="C11" i="41"/>
  <c r="C12" i="41" s="1"/>
  <c r="D12" i="41" s="1"/>
  <c r="D62" i="41"/>
  <c r="D234" i="40"/>
  <c r="C235" i="40"/>
  <c r="C25" i="40"/>
  <c r="D24" i="40"/>
  <c r="C414" i="40"/>
  <c r="D413" i="40"/>
  <c r="D362" i="40"/>
  <c r="C363" i="40"/>
  <c r="C159" i="40"/>
  <c r="D158" i="40"/>
  <c r="C94" i="40"/>
  <c r="D93" i="40"/>
  <c r="C311" i="40"/>
  <c r="D310" i="40"/>
  <c r="O171" i="31"/>
  <c r="O172" i="31" s="1"/>
  <c r="Q166" i="31" s="1"/>
  <c r="T166" i="31" s="1"/>
  <c r="W166" i="31" s="1"/>
  <c r="Z166" i="31" s="1"/>
  <c r="AC166" i="31" s="1"/>
  <c r="AF166" i="31" s="1"/>
  <c r="AU166" i="31" s="1"/>
  <c r="AX10" i="31" s="1"/>
  <c r="AY10" i="31" s="1"/>
  <c r="R171" i="31"/>
  <c r="R172" i="31" s="1"/>
  <c r="T164" i="31" s="1"/>
  <c r="W164" i="31" s="1"/>
  <c r="Z164" i="31" s="1"/>
  <c r="AC164" i="31" s="1"/>
  <c r="AF164" i="31" s="1"/>
  <c r="AU164" i="31" s="1"/>
  <c r="AX4" i="31" s="1"/>
  <c r="AY4" i="31" s="1"/>
  <c r="N256" i="31"/>
  <c r="N257" i="31" s="1"/>
  <c r="N251" i="31" s="1"/>
  <c r="Q255" i="31" s="1"/>
  <c r="L256" i="31"/>
  <c r="L257" i="31" s="1"/>
  <c r="N249" i="31" s="1"/>
  <c r="Q249" i="31" s="1"/>
  <c r="R255" i="31" s="1"/>
  <c r="R86" i="31"/>
  <c r="R87" i="31" s="1"/>
  <c r="T79" i="31" s="1"/>
  <c r="W79" i="31" s="1"/>
  <c r="Z79" i="31" s="1"/>
  <c r="AC79" i="31" s="1"/>
  <c r="AF79" i="31" s="1"/>
  <c r="AU79" i="31" s="1"/>
  <c r="AX3" i="31" s="1"/>
  <c r="AY3" i="31" s="1"/>
  <c r="O86" i="31"/>
  <c r="O87" i="31" s="1"/>
  <c r="Q81" i="31" s="1"/>
  <c r="T81" i="31" s="1"/>
  <c r="W81" i="31" s="1"/>
  <c r="Z81" i="31" s="1"/>
  <c r="AC81" i="31" s="1"/>
  <c r="AF81" i="31" s="1"/>
  <c r="AU81" i="31" s="1"/>
  <c r="AX9" i="31" s="1"/>
  <c r="AY9" i="31" s="1"/>
  <c r="Q86" i="31"/>
  <c r="Q87" i="31" s="1"/>
  <c r="Q82" i="31" s="1"/>
  <c r="T82" i="31" s="1"/>
  <c r="W82" i="31" s="1"/>
  <c r="Z82" i="31" s="1"/>
  <c r="AC82" i="31" s="1"/>
  <c r="AF82" i="31" s="1"/>
  <c r="AU82" i="31" s="1"/>
  <c r="AX13" i="31" s="1"/>
  <c r="AY13" i="31" s="1"/>
  <c r="C369" i="25"/>
  <c r="D368" i="25"/>
  <c r="C418" i="25"/>
  <c r="D417" i="25"/>
  <c r="D91" i="25"/>
  <c r="C92" i="25"/>
  <c r="D232" i="25"/>
  <c r="C233" i="25"/>
  <c r="D310" i="25"/>
  <c r="C311" i="25"/>
  <c r="D24" i="25"/>
  <c r="C25" i="25"/>
  <c r="D158" i="25"/>
  <c r="C159" i="25"/>
  <c r="D261" i="41" l="1"/>
  <c r="C262" i="41"/>
  <c r="C191" i="41"/>
  <c r="C192" i="41" s="1"/>
  <c r="D192" i="41" s="1"/>
  <c r="D11" i="41"/>
  <c r="C13" i="41"/>
  <c r="C26" i="40"/>
  <c r="D25" i="40"/>
  <c r="D311" i="40"/>
  <c r="C312" i="40"/>
  <c r="D235" i="40"/>
  <c r="C236" i="40"/>
  <c r="D363" i="40"/>
  <c r="C364" i="40"/>
  <c r="C415" i="40"/>
  <c r="C416" i="40" s="1"/>
  <c r="C417" i="40" s="1"/>
  <c r="D414" i="40"/>
  <c r="D415" i="40" s="1"/>
  <c r="D416" i="40" s="1"/>
  <c r="D94" i="40"/>
  <c r="C95" i="40"/>
  <c r="D159" i="40"/>
  <c r="D160" i="40" s="1"/>
  <c r="D161" i="40" s="1"/>
  <c r="D162" i="40" s="1"/>
  <c r="D163" i="40" s="1"/>
  <c r="C160" i="40"/>
  <c r="C161" i="40" s="1"/>
  <c r="C162" i="40" s="1"/>
  <c r="C163" i="40" s="1"/>
  <c r="C164" i="40" s="1"/>
  <c r="Q256" i="31"/>
  <c r="Q257" i="31" s="1"/>
  <c r="Q251" i="31" s="1"/>
  <c r="T251" i="31" s="1"/>
  <c r="O256" i="31"/>
  <c r="O257" i="31" s="1"/>
  <c r="Q250" i="31" s="1"/>
  <c r="T255" i="31" s="1"/>
  <c r="T256" i="31" s="1"/>
  <c r="T257" i="31" s="1"/>
  <c r="T250" i="31" s="1"/>
  <c r="C160" i="25"/>
  <c r="C161" i="25" s="1"/>
  <c r="C162" i="25" s="1"/>
  <c r="C163" i="25" s="1"/>
  <c r="C164" i="25" s="1"/>
  <c r="D159" i="25"/>
  <c r="D160" i="25" s="1"/>
  <c r="D161" i="25" s="1"/>
  <c r="D162" i="25" s="1"/>
  <c r="D163" i="25" s="1"/>
  <c r="D92" i="25"/>
  <c r="C93" i="25"/>
  <c r="D233" i="25"/>
  <c r="C234" i="25"/>
  <c r="D25" i="25"/>
  <c r="C26" i="25"/>
  <c r="C419" i="25"/>
  <c r="D418" i="25"/>
  <c r="C312" i="25"/>
  <c r="D311" i="25"/>
  <c r="D369" i="25"/>
  <c r="C370" i="25"/>
  <c r="D262" i="41" l="1"/>
  <c r="C263" i="41"/>
  <c r="D13" i="41"/>
  <c r="D191" i="41"/>
  <c r="C221" i="41"/>
  <c r="C222" i="41" s="1"/>
  <c r="D164" i="40"/>
  <c r="C165" i="40"/>
  <c r="D312" i="40"/>
  <c r="C313" i="40"/>
  <c r="D364" i="40"/>
  <c r="C365" i="40"/>
  <c r="D236" i="40"/>
  <c r="C237" i="40"/>
  <c r="D95" i="40"/>
  <c r="D96" i="40" s="1"/>
  <c r="D97" i="40" s="1"/>
  <c r="C96" i="40"/>
  <c r="C97" i="40" s="1"/>
  <c r="C98" i="40" s="1"/>
  <c r="D417" i="40"/>
  <c r="C418" i="40"/>
  <c r="C27" i="40"/>
  <c r="D26" i="40"/>
  <c r="W250" i="31"/>
  <c r="Z250" i="31" s="1"/>
  <c r="AC250" i="31" s="1"/>
  <c r="U255" i="31"/>
  <c r="W251" i="31"/>
  <c r="Z251" i="31" s="1"/>
  <c r="W255" i="31"/>
  <c r="R256" i="31"/>
  <c r="R257" i="31" s="1"/>
  <c r="T249" i="31" s="1"/>
  <c r="W249" i="31" s="1"/>
  <c r="D234" i="25"/>
  <c r="C235" i="25"/>
  <c r="D26" i="25"/>
  <c r="C27" i="25"/>
  <c r="D93" i="25"/>
  <c r="C94" i="25"/>
  <c r="D370" i="25"/>
  <c r="C371" i="25"/>
  <c r="D312" i="25"/>
  <c r="C313" i="25"/>
  <c r="D419" i="25"/>
  <c r="C420" i="25"/>
  <c r="D164" i="25"/>
  <c r="C165" i="25"/>
  <c r="D263" i="41" l="1"/>
  <c r="C264" i="41"/>
  <c r="D264" i="41" s="1"/>
  <c r="C223" i="41"/>
  <c r="D222" i="41"/>
  <c r="D221" i="41"/>
  <c r="C151" i="41"/>
  <c r="C238" i="40"/>
  <c r="D237" i="40"/>
  <c r="D313" i="40"/>
  <c r="D314" i="40" s="1"/>
  <c r="D315" i="40" s="1"/>
  <c r="D316" i="40" s="1"/>
  <c r="C314" i="40"/>
  <c r="C315" i="40" s="1"/>
  <c r="C316" i="40" s="1"/>
  <c r="C317" i="40" s="1"/>
  <c r="D27" i="40"/>
  <c r="D28" i="40" s="1"/>
  <c r="D29" i="40" s="1"/>
  <c r="D30" i="40" s="1"/>
  <c r="D31" i="40" s="1"/>
  <c r="D32" i="40" s="1"/>
  <c r="C28" i="40"/>
  <c r="C29" i="40" s="1"/>
  <c r="C30" i="40" s="1"/>
  <c r="C31" i="40" s="1"/>
  <c r="C32" i="40" s="1"/>
  <c r="C33" i="40" s="1"/>
  <c r="C99" i="40"/>
  <c r="D98" i="40"/>
  <c r="C166" i="40"/>
  <c r="C167" i="40" s="1"/>
  <c r="D165" i="40"/>
  <c r="D166" i="40" s="1"/>
  <c r="C366" i="40"/>
  <c r="D365" i="40"/>
  <c r="C419" i="40"/>
  <c r="D418" i="40"/>
  <c r="AF255" i="31"/>
  <c r="AF250" i="31"/>
  <c r="AU250" i="31" s="1"/>
  <c r="AX6" i="31" s="1"/>
  <c r="C320" i="31" s="1"/>
  <c r="D320" i="31" s="1"/>
  <c r="G322" i="31" s="1"/>
  <c r="G324" i="31" s="1"/>
  <c r="G320" i="31" s="1"/>
  <c r="J320" i="31" s="1"/>
  <c r="AU319" i="31" s="1"/>
  <c r="AY6" i="31" s="1"/>
  <c r="X255" i="31"/>
  <c r="Z249" i="31"/>
  <c r="AC249" i="31" s="1"/>
  <c r="AA255" i="31"/>
  <c r="AC251" i="31"/>
  <c r="AF251" i="31" s="1"/>
  <c r="AU251" i="31" s="1"/>
  <c r="AX11" i="31" s="1"/>
  <c r="C366" i="31" s="1"/>
  <c r="B370" i="31" s="1"/>
  <c r="B372" i="31" s="1"/>
  <c r="D366" i="31" s="1"/>
  <c r="G366" i="31" s="1"/>
  <c r="H370" i="31" s="1"/>
  <c r="H372" i="31" s="1"/>
  <c r="J366" i="31" s="1"/>
  <c r="AU365" i="31" s="1"/>
  <c r="AY11" i="31" s="1"/>
  <c r="W256" i="31"/>
  <c r="W257" i="31" s="1"/>
  <c r="U256" i="31"/>
  <c r="U257" i="31" s="1"/>
  <c r="D94" i="25"/>
  <c r="C95" i="25"/>
  <c r="D27" i="25"/>
  <c r="D28" i="25" s="1"/>
  <c r="D29" i="25" s="1"/>
  <c r="D30" i="25" s="1"/>
  <c r="D31" i="25" s="1"/>
  <c r="D32" i="25" s="1"/>
  <c r="C28" i="25"/>
  <c r="C29" i="25" s="1"/>
  <c r="C30" i="25" s="1"/>
  <c r="C31" i="25" s="1"/>
  <c r="C32" i="25" s="1"/>
  <c r="C33" i="25" s="1"/>
  <c r="D371" i="25"/>
  <c r="C372" i="25"/>
  <c r="D313" i="25"/>
  <c r="D314" i="25" s="1"/>
  <c r="D315" i="25" s="1"/>
  <c r="D316" i="25" s="1"/>
  <c r="C314" i="25"/>
  <c r="C315" i="25" s="1"/>
  <c r="C316" i="25" s="1"/>
  <c r="C317" i="25" s="1"/>
  <c r="D235" i="25"/>
  <c r="C236" i="25"/>
  <c r="D165" i="25"/>
  <c r="D166" i="25" s="1"/>
  <c r="C166" i="25"/>
  <c r="C167" i="25" s="1"/>
  <c r="C421" i="25"/>
  <c r="D420" i="25"/>
  <c r="C224" i="41" l="1"/>
  <c r="D223" i="41"/>
  <c r="D151" i="41"/>
  <c r="C100" i="40"/>
  <c r="D99" i="40"/>
  <c r="C318" i="40"/>
  <c r="D317" i="40"/>
  <c r="C34" i="40"/>
  <c r="D33" i="40"/>
  <c r="D419" i="40"/>
  <c r="C420" i="40"/>
  <c r="C367" i="40"/>
  <c r="D366" i="40"/>
  <c r="D167" i="40"/>
  <c r="C168" i="40"/>
  <c r="D238" i="40"/>
  <c r="D239" i="40" s="1"/>
  <c r="D240" i="40" s="1"/>
  <c r="D241" i="40" s="1"/>
  <c r="D242" i="40" s="1"/>
  <c r="C239" i="40"/>
  <c r="C240" i="40" s="1"/>
  <c r="C241" i="40" s="1"/>
  <c r="C242" i="40" s="1"/>
  <c r="C243" i="40" s="1"/>
  <c r="AC256" i="31"/>
  <c r="AC257" i="31" s="1"/>
  <c r="AA256" i="31"/>
  <c r="AA257" i="31" s="1"/>
  <c r="AF249" i="31"/>
  <c r="AU249" i="31" s="1"/>
  <c r="AX5" i="31" s="1"/>
  <c r="C321" i="31" s="1"/>
  <c r="D322" i="31" s="1"/>
  <c r="D324" i="31" s="1"/>
  <c r="D321" i="31" s="1"/>
  <c r="G321" i="31" s="1"/>
  <c r="J321" i="31" s="1"/>
  <c r="AU320" i="31" s="1"/>
  <c r="AY5" i="31" s="1"/>
  <c r="AD255" i="31"/>
  <c r="Z256" i="31"/>
  <c r="Z257" i="31" s="1"/>
  <c r="X256" i="31"/>
  <c r="X257" i="31" s="1"/>
  <c r="D317" i="25"/>
  <c r="C318" i="25"/>
  <c r="D33" i="25"/>
  <c r="C34" i="25"/>
  <c r="D421" i="25"/>
  <c r="C422" i="25"/>
  <c r="C168" i="25"/>
  <c r="D167" i="25"/>
  <c r="D236" i="25"/>
  <c r="C237" i="25"/>
  <c r="C96" i="25"/>
  <c r="C97" i="25" s="1"/>
  <c r="C98" i="25" s="1"/>
  <c r="D95" i="25"/>
  <c r="D96" i="25" s="1"/>
  <c r="D97" i="25" s="1"/>
  <c r="C373" i="25"/>
  <c r="D372" i="25"/>
  <c r="D224" i="41" l="1"/>
  <c r="C225" i="41"/>
  <c r="D420" i="40"/>
  <c r="C421" i="40"/>
  <c r="C35" i="40"/>
  <c r="C36" i="40" s="1"/>
  <c r="C37" i="40" s="1"/>
  <c r="C38" i="40" s="1"/>
  <c r="C39" i="40" s="1"/>
  <c r="C40" i="40" s="1"/>
  <c r="C41" i="40" s="1"/>
  <c r="C42" i="40" s="1"/>
  <c r="D34" i="40"/>
  <c r="D35" i="40" s="1"/>
  <c r="D36" i="40" s="1"/>
  <c r="D37" i="40" s="1"/>
  <c r="D38" i="40" s="1"/>
  <c r="D39" i="40" s="1"/>
  <c r="D40" i="40" s="1"/>
  <c r="D41" i="40" s="1"/>
  <c r="C319" i="40"/>
  <c r="D318" i="40"/>
  <c r="C244" i="40"/>
  <c r="D243" i="40"/>
  <c r="D168" i="40"/>
  <c r="C169" i="40"/>
  <c r="D367" i="40"/>
  <c r="C368" i="40"/>
  <c r="D100" i="40"/>
  <c r="C101" i="40"/>
  <c r="AF256" i="31"/>
  <c r="AF257" i="31" s="1"/>
  <c r="AD256" i="31"/>
  <c r="AD257" i="31" s="1"/>
  <c r="D422" i="25"/>
  <c r="D423" i="25" s="1"/>
  <c r="C423" i="25"/>
  <c r="C424" i="25" s="1"/>
  <c r="D34" i="25"/>
  <c r="D35" i="25" s="1"/>
  <c r="D36" i="25" s="1"/>
  <c r="D37" i="25" s="1"/>
  <c r="D38" i="25" s="1"/>
  <c r="D39" i="25" s="1"/>
  <c r="D40" i="25" s="1"/>
  <c r="D41" i="25" s="1"/>
  <c r="C35" i="25"/>
  <c r="C36" i="25" s="1"/>
  <c r="C37" i="25" s="1"/>
  <c r="C38" i="25" s="1"/>
  <c r="C39" i="25" s="1"/>
  <c r="C40" i="25" s="1"/>
  <c r="C41" i="25" s="1"/>
  <c r="C42" i="25" s="1"/>
  <c r="D168" i="25"/>
  <c r="C169" i="25"/>
  <c r="D237" i="25"/>
  <c r="C238" i="25"/>
  <c r="D318" i="25"/>
  <c r="C319" i="25"/>
  <c r="C374" i="25"/>
  <c r="D373" i="25"/>
  <c r="D98" i="25"/>
  <c r="C99" i="25"/>
  <c r="C226" i="41" l="1"/>
  <c r="D225" i="41"/>
  <c r="D244" i="40"/>
  <c r="C245" i="40"/>
  <c r="C102" i="40"/>
  <c r="C103" i="40" s="1"/>
  <c r="D101" i="40"/>
  <c r="D102" i="40" s="1"/>
  <c r="D319" i="40"/>
  <c r="C320" i="40"/>
  <c r="C43" i="40"/>
  <c r="D42" i="40"/>
  <c r="D169" i="40"/>
  <c r="C170" i="40"/>
  <c r="C422" i="40"/>
  <c r="D421" i="40"/>
  <c r="D368" i="40"/>
  <c r="C369" i="40"/>
  <c r="D169" i="25"/>
  <c r="C170" i="25"/>
  <c r="D238" i="25"/>
  <c r="D239" i="25" s="1"/>
  <c r="D240" i="25" s="1"/>
  <c r="D241" i="25" s="1"/>
  <c r="D242" i="25" s="1"/>
  <c r="C239" i="25"/>
  <c r="C240" i="25" s="1"/>
  <c r="C241" i="25" s="1"/>
  <c r="C242" i="25" s="1"/>
  <c r="C243" i="25" s="1"/>
  <c r="C100" i="25"/>
  <c r="D99" i="25"/>
  <c r="D42" i="25"/>
  <c r="C43" i="25"/>
  <c r="D374" i="25"/>
  <c r="D375" i="25" s="1"/>
  <c r="C375" i="25"/>
  <c r="C376" i="25" s="1"/>
  <c r="C320" i="25"/>
  <c r="D319" i="25"/>
  <c r="D424" i="25"/>
  <c r="C425" i="25"/>
  <c r="D226" i="41" l="1"/>
  <c r="D227" i="41" s="1"/>
  <c r="D228" i="41" s="1"/>
  <c r="D229" i="41" s="1"/>
  <c r="C227" i="41"/>
  <c r="C152" i="41"/>
  <c r="C153" i="41" s="1"/>
  <c r="D153" i="41" s="1"/>
  <c r="D320" i="40"/>
  <c r="C321" i="40"/>
  <c r="D422" i="40"/>
  <c r="D423" i="40" s="1"/>
  <c r="C423" i="40"/>
  <c r="C424" i="40" s="1"/>
  <c r="D43" i="40"/>
  <c r="D44" i="40" s="1"/>
  <c r="D45" i="40" s="1"/>
  <c r="D46" i="40" s="1"/>
  <c r="D47" i="40" s="1"/>
  <c r="D48" i="40" s="1"/>
  <c r="C44" i="40"/>
  <c r="C45" i="40" s="1"/>
  <c r="C46" i="40" s="1"/>
  <c r="C47" i="40" s="1"/>
  <c r="C48" i="40" s="1"/>
  <c r="C49" i="40" s="1"/>
  <c r="C246" i="40"/>
  <c r="D245" i="40"/>
  <c r="D369" i="40"/>
  <c r="C370" i="40"/>
  <c r="D103" i="40"/>
  <c r="C104" i="40"/>
  <c r="C171" i="40"/>
  <c r="D170" i="40"/>
  <c r="D100" i="25"/>
  <c r="C101" i="25"/>
  <c r="D243" i="25"/>
  <c r="C244" i="25"/>
  <c r="D43" i="25"/>
  <c r="D44" i="25" s="1"/>
  <c r="D45" i="25" s="1"/>
  <c r="D46" i="25" s="1"/>
  <c r="D47" i="25" s="1"/>
  <c r="D48" i="25" s="1"/>
  <c r="C44" i="25"/>
  <c r="C45" i="25" s="1"/>
  <c r="C46" i="25" s="1"/>
  <c r="C47" i="25" s="1"/>
  <c r="C48" i="25" s="1"/>
  <c r="C49" i="25" s="1"/>
  <c r="C426" i="25"/>
  <c r="D425" i="25"/>
  <c r="C321" i="25"/>
  <c r="D320" i="25"/>
  <c r="D376" i="25"/>
  <c r="C377" i="25"/>
  <c r="D170" i="25"/>
  <c r="C171" i="25"/>
  <c r="C228" i="41" l="1"/>
  <c r="C229" i="41" s="1"/>
  <c r="C230" i="41" s="1"/>
  <c r="C265" i="41"/>
  <c r="C14" i="41"/>
  <c r="C15" i="41" s="1"/>
  <c r="C16" i="41" s="1"/>
  <c r="D16" i="41" s="1"/>
  <c r="D15" i="41"/>
  <c r="D152" i="41"/>
  <c r="C247" i="40"/>
  <c r="D246" i="40"/>
  <c r="D424" i="40"/>
  <c r="C425" i="40"/>
  <c r="D49" i="40"/>
  <c r="C50" i="40"/>
  <c r="D104" i="40"/>
  <c r="C105" i="40"/>
  <c r="D370" i="40"/>
  <c r="C371" i="40"/>
  <c r="D321" i="40"/>
  <c r="C322" i="40"/>
  <c r="D171" i="40"/>
  <c r="C172" i="40"/>
  <c r="D49" i="25"/>
  <c r="C50" i="25"/>
  <c r="D377" i="25"/>
  <c r="C378" i="25"/>
  <c r="D244" i="25"/>
  <c r="C245" i="25"/>
  <c r="C427" i="25"/>
  <c r="D427" i="25" s="1"/>
  <c r="D426" i="25"/>
  <c r="D171" i="25"/>
  <c r="C172" i="25"/>
  <c r="C102" i="25"/>
  <c r="C103" i="25" s="1"/>
  <c r="D101" i="25"/>
  <c r="D102" i="25" s="1"/>
  <c r="D321" i="25"/>
  <c r="C322" i="25"/>
  <c r="D265" i="41" l="1"/>
  <c r="C266" i="41"/>
  <c r="D230" i="41"/>
  <c r="C231" i="41"/>
  <c r="D14" i="41"/>
  <c r="C106" i="40"/>
  <c r="C107" i="40" s="1"/>
  <c r="C108" i="40" s="1"/>
  <c r="D105" i="40"/>
  <c r="D106" i="40" s="1"/>
  <c r="D107" i="40" s="1"/>
  <c r="D172" i="40"/>
  <c r="C173" i="40"/>
  <c r="C323" i="40"/>
  <c r="D322" i="40"/>
  <c r="D425" i="40"/>
  <c r="C426" i="40"/>
  <c r="C51" i="40"/>
  <c r="C52" i="40" s="1"/>
  <c r="C53" i="40" s="1"/>
  <c r="C54" i="40" s="1"/>
  <c r="C55" i="40" s="1"/>
  <c r="C56" i="40" s="1"/>
  <c r="C57" i="40" s="1"/>
  <c r="C58" i="40" s="1"/>
  <c r="C59" i="40" s="1"/>
  <c r="C60" i="40" s="1"/>
  <c r="C61" i="40" s="1"/>
  <c r="C62" i="40" s="1"/>
  <c r="D50" i="40"/>
  <c r="D51" i="40" s="1"/>
  <c r="D52" i="40" s="1"/>
  <c r="D53" i="40" s="1"/>
  <c r="D54" i="40" s="1"/>
  <c r="D55" i="40" s="1"/>
  <c r="D56" i="40" s="1"/>
  <c r="D57" i="40" s="1"/>
  <c r="D58" i="40" s="1"/>
  <c r="D59" i="40" s="1"/>
  <c r="D60" i="40" s="1"/>
  <c r="D61" i="40" s="1"/>
  <c r="D62" i="40" s="1"/>
  <c r="C372" i="40"/>
  <c r="D371" i="40"/>
  <c r="D247" i="40"/>
  <c r="C248" i="40"/>
  <c r="C323" i="25"/>
  <c r="D322" i="25"/>
  <c r="C246" i="25"/>
  <c r="D245" i="25"/>
  <c r="D378" i="25"/>
  <c r="C379" i="25"/>
  <c r="D172" i="25"/>
  <c r="C173" i="25"/>
  <c r="D50" i="25"/>
  <c r="D51" i="25" s="1"/>
  <c r="D52" i="25" s="1"/>
  <c r="D53" i="25" s="1"/>
  <c r="D54" i="25" s="1"/>
  <c r="D55" i="25" s="1"/>
  <c r="D56" i="25" s="1"/>
  <c r="D57" i="25" s="1"/>
  <c r="D58" i="25" s="1"/>
  <c r="D59" i="25" s="1"/>
  <c r="D60" i="25" s="1"/>
  <c r="D61" i="25" s="1"/>
  <c r="D62" i="25" s="1"/>
  <c r="C51" i="25"/>
  <c r="C52" i="25" s="1"/>
  <c r="C53" i="25" s="1"/>
  <c r="C54" i="25" s="1"/>
  <c r="C55" i="25" s="1"/>
  <c r="C56" i="25" s="1"/>
  <c r="C57" i="25" s="1"/>
  <c r="C58" i="25" s="1"/>
  <c r="C59" i="25" s="1"/>
  <c r="C60" i="25" s="1"/>
  <c r="C61" i="25" s="1"/>
  <c r="C62" i="25" s="1"/>
  <c r="C104" i="25"/>
  <c r="D103" i="25"/>
  <c r="C232" i="41" l="1"/>
  <c r="D231" i="41"/>
  <c r="C267" i="41"/>
  <c r="D266" i="41"/>
  <c r="C427" i="40"/>
  <c r="D427" i="40" s="1"/>
  <c r="D426" i="40"/>
  <c r="D248" i="40"/>
  <c r="D249" i="40" s="1"/>
  <c r="D250" i="40" s="1"/>
  <c r="D251" i="40" s="1"/>
  <c r="C249" i="40"/>
  <c r="C250" i="40" s="1"/>
  <c r="C251" i="40" s="1"/>
  <c r="C252" i="40" s="1"/>
  <c r="C324" i="40"/>
  <c r="D323" i="40"/>
  <c r="C174" i="40"/>
  <c r="D173" i="40"/>
  <c r="D372" i="40"/>
  <c r="C373" i="40"/>
  <c r="D108" i="40"/>
  <c r="C109" i="40"/>
  <c r="D379" i="25"/>
  <c r="C380" i="25"/>
  <c r="C174" i="25"/>
  <c r="D173" i="25"/>
  <c r="D104" i="25"/>
  <c r="C105" i="25"/>
  <c r="D246" i="25"/>
  <c r="C247" i="25"/>
  <c r="D323" i="25"/>
  <c r="C324" i="25"/>
  <c r="D267" i="41" l="1"/>
  <c r="C268" i="41"/>
  <c r="D232" i="41"/>
  <c r="C233" i="41"/>
  <c r="C175" i="40"/>
  <c r="D174" i="40"/>
  <c r="C110" i="40"/>
  <c r="D109" i="40"/>
  <c r="D324" i="40"/>
  <c r="C325" i="40"/>
  <c r="C374" i="40"/>
  <c r="D373" i="40"/>
  <c r="D252" i="40"/>
  <c r="C253" i="40"/>
  <c r="C106" i="25"/>
  <c r="C107" i="25" s="1"/>
  <c r="C108" i="25" s="1"/>
  <c r="D105" i="25"/>
  <c r="D106" i="25" s="1"/>
  <c r="D107" i="25" s="1"/>
  <c r="C248" i="25"/>
  <c r="D247" i="25"/>
  <c r="D174" i="25"/>
  <c r="C175" i="25"/>
  <c r="C325" i="25"/>
  <c r="D324" i="25"/>
  <c r="C381" i="25"/>
  <c r="D380" i="25"/>
  <c r="D233" i="41" l="1"/>
  <c r="C234" i="41"/>
  <c r="C269" i="41"/>
  <c r="D269" i="41" s="1"/>
  <c r="D268" i="41"/>
  <c r="D374" i="40"/>
  <c r="D375" i="40" s="1"/>
  <c r="C375" i="40"/>
  <c r="C376" i="40" s="1"/>
  <c r="C326" i="40"/>
  <c r="D325" i="40"/>
  <c r="D110" i="40"/>
  <c r="D111" i="40" s="1"/>
  <c r="D112" i="40" s="1"/>
  <c r="D113" i="40" s="1"/>
  <c r="C111" i="40"/>
  <c r="C112" i="40" s="1"/>
  <c r="C113" i="40" s="1"/>
  <c r="C114" i="40" s="1"/>
  <c r="C254" i="40"/>
  <c r="D253" i="40"/>
  <c r="D175" i="40"/>
  <c r="C176" i="40"/>
  <c r="D381" i="25"/>
  <c r="D382" i="25" s="1"/>
  <c r="D383" i="25" s="1"/>
  <c r="D384" i="25" s="1"/>
  <c r="D385" i="25" s="1"/>
  <c r="D386" i="25" s="1"/>
  <c r="D387" i="25" s="1"/>
  <c r="D388" i="25" s="1"/>
  <c r="D389" i="25" s="1"/>
  <c r="D390" i="25" s="1"/>
  <c r="D391" i="25" s="1"/>
  <c r="C382" i="25"/>
  <c r="C383" i="25" s="1"/>
  <c r="C384" i="25" s="1"/>
  <c r="C385" i="25" s="1"/>
  <c r="C386" i="25" s="1"/>
  <c r="C387" i="25" s="1"/>
  <c r="C388" i="25" s="1"/>
  <c r="C389" i="25" s="1"/>
  <c r="C390" i="25" s="1"/>
  <c r="C391" i="25" s="1"/>
  <c r="C109" i="25"/>
  <c r="D108" i="25"/>
  <c r="C326" i="25"/>
  <c r="D325" i="25"/>
  <c r="C249" i="25"/>
  <c r="C250" i="25" s="1"/>
  <c r="C251" i="25" s="1"/>
  <c r="C252" i="25" s="1"/>
  <c r="D248" i="25"/>
  <c r="D249" i="25" s="1"/>
  <c r="D250" i="25" s="1"/>
  <c r="D251" i="25" s="1"/>
  <c r="C176" i="25"/>
  <c r="D175" i="25"/>
  <c r="D234" i="41" l="1"/>
  <c r="C235" i="41"/>
  <c r="C255" i="40"/>
  <c r="D254" i="40"/>
  <c r="D376" i="40"/>
  <c r="C377" i="40"/>
  <c r="C115" i="40"/>
  <c r="D114" i="40"/>
  <c r="C327" i="40"/>
  <c r="C328" i="40" s="1"/>
  <c r="C329" i="40" s="1"/>
  <c r="C330" i="40" s="1"/>
  <c r="D326" i="40"/>
  <c r="D327" i="40" s="1"/>
  <c r="D328" i="40" s="1"/>
  <c r="D329" i="40" s="1"/>
  <c r="D176" i="40"/>
  <c r="C177" i="40"/>
  <c r="D252" i="25"/>
  <c r="C253" i="25"/>
  <c r="D326" i="25"/>
  <c r="D327" i="25" s="1"/>
  <c r="D328" i="25" s="1"/>
  <c r="D329" i="25" s="1"/>
  <c r="C327" i="25"/>
  <c r="C328" i="25" s="1"/>
  <c r="C329" i="25" s="1"/>
  <c r="C330" i="25" s="1"/>
  <c r="C110" i="25"/>
  <c r="D109" i="25"/>
  <c r="D176" i="25"/>
  <c r="C177" i="25"/>
  <c r="D235" i="41" l="1"/>
  <c r="C236" i="41"/>
  <c r="C116" i="40"/>
  <c r="C117" i="40" s="1"/>
  <c r="C118" i="40" s="1"/>
  <c r="C119" i="40" s="1"/>
  <c r="C120" i="40" s="1"/>
  <c r="C121" i="40" s="1"/>
  <c r="D115" i="40"/>
  <c r="D116" i="40" s="1"/>
  <c r="D117" i="40" s="1"/>
  <c r="D118" i="40" s="1"/>
  <c r="D119" i="40" s="1"/>
  <c r="D120" i="40" s="1"/>
  <c r="D177" i="40"/>
  <c r="D178" i="40" s="1"/>
  <c r="C178" i="40"/>
  <c r="C179" i="40" s="1"/>
  <c r="C331" i="40"/>
  <c r="D330" i="40"/>
  <c r="D377" i="40"/>
  <c r="C378" i="40"/>
  <c r="D255" i="40"/>
  <c r="D256" i="40" s="1"/>
  <c r="D257" i="40" s="1"/>
  <c r="C256" i="40"/>
  <c r="C257" i="40" s="1"/>
  <c r="C258" i="40" s="1"/>
  <c r="D110" i="25"/>
  <c r="D111" i="25" s="1"/>
  <c r="D112" i="25" s="1"/>
  <c r="D113" i="25" s="1"/>
  <c r="C111" i="25"/>
  <c r="C112" i="25" s="1"/>
  <c r="C113" i="25" s="1"/>
  <c r="C114" i="25" s="1"/>
  <c r="D177" i="25"/>
  <c r="D178" i="25" s="1"/>
  <c r="C178" i="25"/>
  <c r="C179" i="25" s="1"/>
  <c r="D330" i="25"/>
  <c r="C331" i="25"/>
  <c r="C254" i="25"/>
  <c r="D253" i="25"/>
  <c r="C237" i="41" l="1"/>
  <c r="D236" i="41"/>
  <c r="C379" i="40"/>
  <c r="D378" i="40"/>
  <c r="D331" i="40"/>
  <c r="C332" i="40"/>
  <c r="C180" i="40"/>
  <c r="D179" i="40"/>
  <c r="C259" i="40"/>
  <c r="D258" i="40"/>
  <c r="D121" i="40"/>
  <c r="C122" i="40"/>
  <c r="D254" i="25"/>
  <c r="C255" i="25"/>
  <c r="D179" i="25"/>
  <c r="C180" i="25"/>
  <c r="D331" i="25"/>
  <c r="C332" i="25"/>
  <c r="D114" i="25"/>
  <c r="C115" i="25"/>
  <c r="D237" i="41" l="1"/>
  <c r="C238" i="41"/>
  <c r="D379" i="40"/>
  <c r="C380" i="40"/>
  <c r="C260" i="40"/>
  <c r="D259" i="40"/>
  <c r="D180" i="40"/>
  <c r="C181" i="40"/>
  <c r="D332" i="40"/>
  <c r="C333" i="40"/>
  <c r="D122" i="40"/>
  <c r="D123" i="40" s="1"/>
  <c r="D124" i="40" s="1"/>
  <c r="C123" i="40"/>
  <c r="C124" i="40" s="1"/>
  <c r="C125" i="40" s="1"/>
  <c r="C116" i="25"/>
  <c r="C117" i="25" s="1"/>
  <c r="C118" i="25" s="1"/>
  <c r="C119" i="25" s="1"/>
  <c r="C120" i="25" s="1"/>
  <c r="C121" i="25" s="1"/>
  <c r="D115" i="25"/>
  <c r="D116" i="25" s="1"/>
  <c r="D117" i="25" s="1"/>
  <c r="D118" i="25" s="1"/>
  <c r="D119" i="25" s="1"/>
  <c r="D120" i="25" s="1"/>
  <c r="C333" i="25"/>
  <c r="D332" i="25"/>
  <c r="C181" i="25"/>
  <c r="D180" i="25"/>
  <c r="C256" i="25"/>
  <c r="C257" i="25" s="1"/>
  <c r="C258" i="25" s="1"/>
  <c r="D255" i="25"/>
  <c r="D256" i="25" s="1"/>
  <c r="D257" i="25" s="1"/>
  <c r="C239" i="41" l="1"/>
  <c r="D238" i="41"/>
  <c r="C334" i="40"/>
  <c r="C335" i="40" s="1"/>
  <c r="C336" i="40" s="1"/>
  <c r="C337" i="40" s="1"/>
  <c r="C338" i="40" s="1"/>
  <c r="C339" i="40" s="1"/>
  <c r="C340" i="40" s="1"/>
  <c r="C341" i="40" s="1"/>
  <c r="C342" i="40" s="1"/>
  <c r="D333" i="40"/>
  <c r="D334" i="40" s="1"/>
  <c r="D335" i="40" s="1"/>
  <c r="D336" i="40" s="1"/>
  <c r="D337" i="40" s="1"/>
  <c r="D338" i="40" s="1"/>
  <c r="D339" i="40" s="1"/>
  <c r="D340" i="40" s="1"/>
  <c r="D341" i="40" s="1"/>
  <c r="D342" i="40" s="1"/>
  <c r="C182" i="40"/>
  <c r="D181" i="40"/>
  <c r="D260" i="40"/>
  <c r="C261" i="40"/>
  <c r="C126" i="40"/>
  <c r="D125" i="40"/>
  <c r="D380" i="40"/>
  <c r="C381" i="40"/>
  <c r="D258" i="25"/>
  <c r="C259" i="25"/>
  <c r="D181" i="25"/>
  <c r="C182" i="25"/>
  <c r="D333" i="25"/>
  <c r="D334" i="25" s="1"/>
  <c r="D335" i="25" s="1"/>
  <c r="D336" i="25" s="1"/>
  <c r="D337" i="25" s="1"/>
  <c r="D338" i="25" s="1"/>
  <c r="D339" i="25" s="1"/>
  <c r="D340" i="25" s="1"/>
  <c r="D341" i="25" s="1"/>
  <c r="D342" i="25" s="1"/>
  <c r="C334" i="25"/>
  <c r="C335" i="25" s="1"/>
  <c r="C336" i="25" s="1"/>
  <c r="C337" i="25" s="1"/>
  <c r="C338" i="25" s="1"/>
  <c r="C339" i="25" s="1"/>
  <c r="C340" i="25" s="1"/>
  <c r="C341" i="25" s="1"/>
  <c r="C342" i="25" s="1"/>
  <c r="C122" i="25"/>
  <c r="D121" i="25"/>
  <c r="C240" i="41" l="1"/>
  <c r="D239" i="41"/>
  <c r="C127" i="40"/>
  <c r="C128" i="40" s="1"/>
  <c r="C129" i="40" s="1"/>
  <c r="C130" i="40" s="1"/>
  <c r="C131" i="40" s="1"/>
  <c r="D126" i="40"/>
  <c r="D127" i="40" s="1"/>
  <c r="D128" i="40" s="1"/>
  <c r="D129" i="40" s="1"/>
  <c r="D130" i="40" s="1"/>
  <c r="D131" i="40" s="1"/>
  <c r="C382" i="40"/>
  <c r="C383" i="40" s="1"/>
  <c r="C384" i="40" s="1"/>
  <c r="C385" i="40" s="1"/>
  <c r="C386" i="40" s="1"/>
  <c r="C387" i="40" s="1"/>
  <c r="C388" i="40" s="1"/>
  <c r="C389" i="40" s="1"/>
  <c r="C390" i="40" s="1"/>
  <c r="C391" i="40" s="1"/>
  <c r="D381" i="40"/>
  <c r="D382" i="40" s="1"/>
  <c r="D383" i="40" s="1"/>
  <c r="D384" i="40" s="1"/>
  <c r="D385" i="40" s="1"/>
  <c r="D386" i="40" s="1"/>
  <c r="D387" i="40" s="1"/>
  <c r="D388" i="40" s="1"/>
  <c r="D389" i="40" s="1"/>
  <c r="D390" i="40" s="1"/>
  <c r="D391" i="40" s="1"/>
  <c r="C262" i="40"/>
  <c r="D261" i="40"/>
  <c r="C183" i="40"/>
  <c r="D182" i="40"/>
  <c r="D122" i="25"/>
  <c r="D123" i="25" s="1"/>
  <c r="D124" i="25" s="1"/>
  <c r="C123" i="25"/>
  <c r="C124" i="25" s="1"/>
  <c r="C125" i="25" s="1"/>
  <c r="D182" i="25"/>
  <c r="C183" i="25"/>
  <c r="D259" i="25"/>
  <c r="C260" i="25"/>
  <c r="C241" i="41" l="1"/>
  <c r="D240" i="41"/>
  <c r="D183" i="40"/>
  <c r="C184" i="40"/>
  <c r="C263" i="40"/>
  <c r="D262" i="40"/>
  <c r="C261" i="25"/>
  <c r="D260" i="25"/>
  <c r="D125" i="25"/>
  <c r="C126" i="25"/>
  <c r="C184" i="25"/>
  <c r="D183" i="25"/>
  <c r="D241" i="41" l="1"/>
  <c r="C242" i="41"/>
  <c r="D263" i="40"/>
  <c r="C264" i="40"/>
  <c r="D184" i="40"/>
  <c r="C185" i="40"/>
  <c r="D126" i="25"/>
  <c r="D127" i="25" s="1"/>
  <c r="D128" i="25" s="1"/>
  <c r="D129" i="25" s="1"/>
  <c r="D130" i="25" s="1"/>
  <c r="D131" i="25" s="1"/>
  <c r="C127" i="25"/>
  <c r="C128" i="25" s="1"/>
  <c r="C129" i="25" s="1"/>
  <c r="C130" i="25" s="1"/>
  <c r="C131" i="25" s="1"/>
  <c r="C185" i="25"/>
  <c r="D184" i="25"/>
  <c r="C262" i="25"/>
  <c r="D261" i="25"/>
  <c r="D242" i="41" l="1"/>
  <c r="C243" i="41"/>
  <c r="D185" i="40"/>
  <c r="C186" i="40"/>
  <c r="D264" i="40"/>
  <c r="C265" i="40"/>
  <c r="D262" i="25"/>
  <c r="C263" i="25"/>
  <c r="C186" i="25"/>
  <c r="D185" i="25"/>
  <c r="C244" i="41" l="1"/>
  <c r="D243" i="41"/>
  <c r="D186" i="40"/>
  <c r="C187" i="40"/>
  <c r="D265" i="40"/>
  <c r="C266" i="40"/>
  <c r="C264" i="25"/>
  <c r="D263" i="25"/>
  <c r="D186" i="25"/>
  <c r="C187" i="25"/>
  <c r="D244" i="41" l="1"/>
  <c r="C245" i="41"/>
  <c r="D266" i="40"/>
  <c r="D267" i="40" s="1"/>
  <c r="C267" i="40"/>
  <c r="C268" i="40" s="1"/>
  <c r="D187" i="40"/>
  <c r="C188" i="40"/>
  <c r="D187" i="25"/>
  <c r="C188" i="25"/>
  <c r="C265" i="25"/>
  <c r="D264" i="25"/>
  <c r="D245" i="41" l="1"/>
  <c r="C246" i="41"/>
  <c r="D188" i="40"/>
  <c r="D189" i="40" s="1"/>
  <c r="C189" i="40"/>
  <c r="C190" i="40" s="1"/>
  <c r="D268" i="40"/>
  <c r="C269" i="40"/>
  <c r="D188" i="25"/>
  <c r="D189" i="25" s="1"/>
  <c r="C189" i="25"/>
  <c r="C190" i="25" s="1"/>
  <c r="C266" i="25"/>
  <c r="D265" i="25"/>
  <c r="C247" i="41" l="1"/>
  <c r="C248" i="41" s="1"/>
  <c r="C249" i="41" s="1"/>
  <c r="C250" i="41" s="1"/>
  <c r="C251" i="41" s="1"/>
  <c r="D246" i="41"/>
  <c r="D247" i="41" s="1"/>
  <c r="D248" i="41" s="1"/>
  <c r="D249" i="41" s="1"/>
  <c r="D250" i="41" s="1"/>
  <c r="D251" i="41" s="1"/>
  <c r="C270" i="40"/>
  <c r="D269" i="40"/>
  <c r="C191" i="40"/>
  <c r="D190" i="40"/>
  <c r="D190" i="25"/>
  <c r="C191" i="25"/>
  <c r="D266" i="25"/>
  <c r="D267" i="25" s="1"/>
  <c r="C267" i="25"/>
  <c r="C268" i="25" s="1"/>
  <c r="D191" i="40" l="1"/>
  <c r="D192" i="40" s="1"/>
  <c r="C192" i="40"/>
  <c r="C193" i="40" s="1"/>
  <c r="D270" i="40"/>
  <c r="C271" i="40"/>
  <c r="D268" i="25"/>
  <c r="C269" i="25"/>
  <c r="C192" i="25"/>
  <c r="C193" i="25" s="1"/>
  <c r="D191" i="25"/>
  <c r="D192" i="25" s="1"/>
  <c r="D271" i="40" l="1"/>
  <c r="C272" i="40"/>
  <c r="D193" i="40"/>
  <c r="C194" i="40"/>
  <c r="D193" i="25"/>
  <c r="C194" i="25"/>
  <c r="C270" i="25"/>
  <c r="D269" i="25"/>
  <c r="D194" i="40" l="1"/>
  <c r="D195" i="40" s="1"/>
  <c r="D196" i="40" s="1"/>
  <c r="D197" i="40" s="1"/>
  <c r="D198" i="40" s="1"/>
  <c r="D199" i="40" s="1"/>
  <c r="D200" i="40" s="1"/>
  <c r="C195" i="40"/>
  <c r="C196" i="40" s="1"/>
  <c r="C197" i="40" s="1"/>
  <c r="C198" i="40" s="1"/>
  <c r="C199" i="40" s="1"/>
  <c r="C200" i="40" s="1"/>
  <c r="C201" i="40" s="1"/>
  <c r="D272" i="40"/>
  <c r="C273" i="40"/>
  <c r="D270" i="25"/>
  <c r="C271" i="25"/>
  <c r="D194" i="25"/>
  <c r="D195" i="25" s="1"/>
  <c r="D196" i="25" s="1"/>
  <c r="D197" i="25" s="1"/>
  <c r="D198" i="25" s="1"/>
  <c r="D199" i="25" s="1"/>
  <c r="D200" i="25" s="1"/>
  <c r="C195" i="25"/>
  <c r="C196" i="25" s="1"/>
  <c r="C197" i="25" s="1"/>
  <c r="C198" i="25" s="1"/>
  <c r="C199" i="25" s="1"/>
  <c r="C200" i="25" s="1"/>
  <c r="C201" i="25" s="1"/>
  <c r="D273" i="40" l="1"/>
  <c r="C274" i="40"/>
  <c r="D201" i="40"/>
  <c r="C202" i="40"/>
  <c r="D201" i="25"/>
  <c r="C202" i="25"/>
  <c r="C272" i="25"/>
  <c r="D271" i="25"/>
  <c r="C203" i="40" l="1"/>
  <c r="D202" i="40"/>
  <c r="D274" i="40"/>
  <c r="D275" i="40" s="1"/>
  <c r="D276" i="40" s="1"/>
  <c r="D277" i="40" s="1"/>
  <c r="C275" i="40"/>
  <c r="C276" i="40" s="1"/>
  <c r="C277" i="40" s="1"/>
  <c r="C278" i="40" s="1"/>
  <c r="D202" i="25"/>
  <c r="C203" i="25"/>
  <c r="D272" i="25"/>
  <c r="C273" i="25"/>
  <c r="D278" i="40" l="1"/>
  <c r="C279" i="40"/>
  <c r="C204" i="40"/>
  <c r="D203" i="40"/>
  <c r="D273" i="25"/>
  <c r="C274" i="25"/>
  <c r="D203" i="25"/>
  <c r="C204" i="25"/>
  <c r="D204" i="40" l="1"/>
  <c r="C205" i="40"/>
  <c r="D279" i="40"/>
  <c r="D280" i="40" s="1"/>
  <c r="D281" i="40" s="1"/>
  <c r="D282" i="40" s="1"/>
  <c r="D283" i="40" s="1"/>
  <c r="C280" i="40"/>
  <c r="C281" i="40" s="1"/>
  <c r="C282" i="40" s="1"/>
  <c r="C283" i="40" s="1"/>
  <c r="C205" i="25"/>
  <c r="D204" i="25"/>
  <c r="D274" i="25"/>
  <c r="D275" i="25" s="1"/>
  <c r="D276" i="25" s="1"/>
  <c r="D277" i="25" s="1"/>
  <c r="C275" i="25"/>
  <c r="C276" i="25" s="1"/>
  <c r="C277" i="25" s="1"/>
  <c r="C278" i="25" s="1"/>
  <c r="C206" i="40" l="1"/>
  <c r="C207" i="40" s="1"/>
  <c r="C208" i="40" s="1"/>
  <c r="C209" i="40" s="1"/>
  <c r="C210" i="40" s="1"/>
  <c r="C211" i="40" s="1"/>
  <c r="C212" i="40" s="1"/>
  <c r="C213" i="40" s="1"/>
  <c r="D205" i="40"/>
  <c r="D206" i="40" s="1"/>
  <c r="D207" i="40" s="1"/>
  <c r="D208" i="40" s="1"/>
  <c r="D209" i="40" s="1"/>
  <c r="D210" i="40" s="1"/>
  <c r="D211" i="40" s="1"/>
  <c r="D212" i="40" s="1"/>
  <c r="D213" i="40" s="1"/>
  <c r="D278" i="25"/>
  <c r="C279" i="25"/>
  <c r="C206" i="25"/>
  <c r="C207" i="25" s="1"/>
  <c r="C208" i="25" s="1"/>
  <c r="C209" i="25" s="1"/>
  <c r="C210" i="25" s="1"/>
  <c r="C211" i="25" s="1"/>
  <c r="C212" i="25" s="1"/>
  <c r="C213" i="25" s="1"/>
  <c r="D205" i="25"/>
  <c r="D206" i="25" s="1"/>
  <c r="D207" i="25" s="1"/>
  <c r="D208" i="25" s="1"/>
  <c r="D209" i="25" s="1"/>
  <c r="D210" i="25" s="1"/>
  <c r="D211" i="25" s="1"/>
  <c r="D212" i="25" s="1"/>
  <c r="D213" i="25" s="1"/>
  <c r="C280" i="25" l="1"/>
  <c r="C281" i="25" s="1"/>
  <c r="C282" i="25" s="1"/>
  <c r="C283" i="25" s="1"/>
  <c r="D279" i="25"/>
  <c r="D280" i="25" s="1"/>
  <c r="D281" i="25" s="1"/>
  <c r="D282" i="25" s="1"/>
  <c r="D283" i="25" s="1"/>
  <c r="C96" i="41" l="1"/>
  <c r="C97" i="41"/>
  <c r="C98" i="41"/>
  <c r="C99" i="41"/>
  <c r="C100" i="41"/>
  <c r="C101" i="41"/>
  <c r="C102" i="41"/>
  <c r="C103" i="41"/>
  <c r="C104" i="41"/>
  <c r="C105" i="41"/>
  <c r="C106" i="41"/>
  <c r="C107" i="41"/>
  <c r="C108" i="41"/>
  <c r="C109" i="41"/>
  <c r="C110" i="41"/>
  <c r="C111" i="41"/>
  <c r="C112" i="41"/>
  <c r="C113" i="41"/>
  <c r="C114" i="41"/>
  <c r="C115" i="41"/>
  <c r="C116" i="41"/>
  <c r="C117" i="41"/>
  <c r="C118" i="41"/>
  <c r="C119" i="41"/>
  <c r="C120" i="41"/>
  <c r="C121" i="41"/>
  <c r="C122" i="41"/>
  <c r="C123" i="41"/>
  <c r="C124" i="41"/>
  <c r="C125" i="41"/>
  <c r="D125" i="41"/>
  <c r="D126" i="41"/>
  <c r="D127" i="41"/>
  <c r="D128" i="41"/>
  <c r="D129" i="41"/>
  <c r="D130" i="41"/>
  <c r="D131" i="41"/>
  <c r="D132" i="41"/>
  <c r="D133" i="41"/>
  <c r="D134" i="41"/>
  <c r="D135" i="41"/>
  <c r="D136" i="41"/>
  <c r="D137" i="41"/>
  <c r="C126" i="41"/>
  <c r="C127" i="41"/>
  <c r="C128" i="41"/>
  <c r="C129" i="41"/>
  <c r="C130" i="41"/>
  <c r="C131" i="41"/>
  <c r="C132" i="41"/>
  <c r="C133" i="41"/>
  <c r="C134" i="41"/>
  <c r="C135" i="41"/>
  <c r="C136" i="41"/>
  <c r="C137" i="41"/>
  <c r="C154" i="41"/>
  <c r="C155" i="41"/>
  <c r="C156" i="41"/>
  <c r="C157" i="41"/>
  <c r="C158" i="41"/>
  <c r="C159" i="41"/>
  <c r="C160" i="41"/>
  <c r="C161" i="41"/>
  <c r="C162" i="41"/>
  <c r="C163" i="41"/>
  <c r="C164" i="41"/>
  <c r="C165" i="41"/>
  <c r="C166" i="41"/>
  <c r="C167" i="41"/>
  <c r="C168" i="41"/>
  <c r="C169" i="41"/>
  <c r="C170" i="41"/>
  <c r="C171" i="41"/>
  <c r="C172" i="41"/>
  <c r="C173" i="41"/>
  <c r="C174" i="41"/>
  <c r="C175" i="41"/>
  <c r="C176" i="41"/>
  <c r="C177" i="41"/>
  <c r="C178" i="41"/>
  <c r="C179" i="41"/>
  <c r="C180" i="41"/>
  <c r="D180" i="41"/>
  <c r="D181" i="41"/>
  <c r="D182" i="41"/>
  <c r="D183" i="41"/>
  <c r="D184" i="41"/>
  <c r="D185" i="41"/>
  <c r="D186" i="41"/>
  <c r="C181" i="41"/>
  <c r="C182" i="41"/>
  <c r="C183" i="41"/>
  <c r="C184" i="41"/>
  <c r="C185" i="41"/>
  <c r="C186" i="41"/>
  <c r="C138" i="41"/>
  <c r="C139" i="41"/>
  <c r="C140" i="41"/>
  <c r="C141" i="41"/>
  <c r="C142" i="41"/>
  <c r="C143" i="41"/>
  <c r="D139" i="41"/>
  <c r="C144" i="41"/>
  <c r="D143" i="41"/>
  <c r="C187" i="41"/>
  <c r="C188" i="41"/>
  <c r="C189" i="41"/>
  <c r="D189" i="41"/>
  <c r="D178" i="41"/>
  <c r="D177" i="41"/>
  <c r="D179" i="41"/>
  <c r="D124" i="41"/>
  <c r="D138" i="41"/>
  <c r="D188" i="41"/>
  <c r="D187" i="41"/>
  <c r="C17" i="41"/>
  <c r="C18" i="41"/>
  <c r="C19" i="41"/>
  <c r="C20" i="41"/>
  <c r="C21" i="41"/>
  <c r="C22" i="41"/>
  <c r="C23" i="41"/>
  <c r="C24" i="41"/>
  <c r="C25" i="41"/>
  <c r="C26" i="41"/>
  <c r="C27" i="41"/>
  <c r="C28" i="41"/>
  <c r="C29" i="41"/>
  <c r="C30" i="41"/>
  <c r="C31" i="41"/>
  <c r="C32" i="41"/>
  <c r="C33" i="41"/>
  <c r="C34" i="41"/>
  <c r="C35" i="41"/>
  <c r="C36" i="41"/>
  <c r="C37" i="41"/>
  <c r="C38" i="41"/>
  <c r="C39" i="41"/>
  <c r="C40" i="41"/>
  <c r="C41" i="41"/>
  <c r="C42" i="41"/>
  <c r="C43" i="41"/>
  <c r="D42" i="41"/>
  <c r="D118" i="41"/>
  <c r="D38" i="41"/>
  <c r="D39" i="41"/>
  <c r="D40" i="41"/>
  <c r="D176" i="41"/>
  <c r="D41" i="41"/>
  <c r="D175" i="41"/>
  <c r="D173" i="41"/>
  <c r="C193" i="41"/>
  <c r="C194" i="41"/>
  <c r="C195" i="41"/>
  <c r="C196" i="41"/>
  <c r="C197" i="41"/>
  <c r="C198" i="41"/>
  <c r="C199" i="41"/>
  <c r="C200" i="41"/>
  <c r="C201" i="41"/>
  <c r="C202" i="41"/>
  <c r="C203" i="41"/>
  <c r="C204" i="41"/>
  <c r="C205" i="41"/>
  <c r="C206" i="41"/>
  <c r="C207" i="41"/>
  <c r="C208" i="41"/>
  <c r="C209" i="41"/>
  <c r="C210" i="41"/>
  <c r="C211" i="41"/>
  <c r="C212" i="41"/>
  <c r="C213" i="41"/>
  <c r="C214" i="41"/>
  <c r="D214" i="41"/>
  <c r="D215" i="41"/>
  <c r="D216" i="41"/>
  <c r="D217" i="41"/>
  <c r="D218" i="41"/>
  <c r="D219" i="41"/>
  <c r="C63" i="41"/>
  <c r="C64" i="41"/>
  <c r="C65" i="41"/>
  <c r="C66" i="41"/>
  <c r="C67" i="41"/>
  <c r="C68" i="41"/>
  <c r="C69" i="41"/>
  <c r="C70" i="41"/>
  <c r="C71" i="41"/>
  <c r="C72" i="41"/>
  <c r="C73" i="41"/>
  <c r="C74" i="41"/>
  <c r="C75" i="41"/>
  <c r="C76" i="41"/>
  <c r="C77" i="41"/>
  <c r="C78" i="41"/>
  <c r="C79" i="41"/>
  <c r="C80" i="41"/>
  <c r="C81" i="41"/>
  <c r="C82" i="41"/>
  <c r="C83" i="41"/>
  <c r="C84" i="41"/>
  <c r="C85" i="41"/>
  <c r="C86" i="41"/>
  <c r="D123" i="41"/>
  <c r="D70" i="41"/>
  <c r="D71" i="41"/>
  <c r="D72" i="41"/>
  <c r="D73" i="41"/>
  <c r="D74" i="41"/>
  <c r="D75" i="41"/>
  <c r="D76" i="41"/>
  <c r="D77" i="41"/>
  <c r="D78" i="41"/>
  <c r="D79" i="41"/>
  <c r="D80" i="41"/>
  <c r="D81" i="41"/>
  <c r="D82" i="41"/>
  <c r="D83" i="41"/>
  <c r="D84" i="41"/>
  <c r="D85" i="41"/>
  <c r="D86" i="41"/>
  <c r="D36" i="41"/>
  <c r="C215" i="41"/>
  <c r="C216" i="41"/>
  <c r="C217" i="41"/>
  <c r="C218" i="41"/>
  <c r="C219" i="41"/>
  <c r="C87" i="41"/>
  <c r="C145" i="41"/>
  <c r="D145" i="41"/>
  <c r="D174" i="41"/>
  <c r="D155" i="41"/>
  <c r="D156" i="41"/>
  <c r="D157" i="41"/>
  <c r="D158" i="41"/>
  <c r="D159" i="41"/>
  <c r="D160" i="41"/>
  <c r="D161" i="41"/>
  <c r="D162" i="41"/>
  <c r="D163" i="41"/>
  <c r="C88" i="41"/>
  <c r="C89" i="41"/>
  <c r="C90" i="41"/>
  <c r="C91" i="41"/>
  <c r="D91" i="41"/>
  <c r="D144" i="41"/>
  <c r="C44" i="41"/>
  <c r="D44" i="41"/>
  <c r="D37" i="41"/>
  <c r="D170" i="41"/>
  <c r="D122" i="41"/>
  <c r="D121" i="41"/>
  <c r="D142" i="41"/>
  <c r="D43" i="41"/>
  <c r="D141" i="41"/>
  <c r="C220" i="41"/>
  <c r="D220" i="41"/>
  <c r="D120" i="41"/>
  <c r="D140" i="41"/>
  <c r="D90" i="41"/>
  <c r="D119" i="41"/>
  <c r="D18" i="41"/>
  <c r="D19" i="41"/>
  <c r="D20" i="41"/>
  <c r="D21" i="41"/>
  <c r="D22" i="41"/>
  <c r="D23" i="41"/>
  <c r="D24" i="41"/>
  <c r="D25" i="41"/>
  <c r="D26" i="41"/>
  <c r="D27" i="41"/>
  <c r="D28" i="41"/>
  <c r="D29" i="41"/>
  <c r="D30" i="41"/>
  <c r="D213" i="41"/>
  <c r="D212" i="41"/>
  <c r="D34" i="41"/>
  <c r="D167" i="41"/>
  <c r="D68" i="41"/>
  <c r="D112" i="41"/>
  <c r="D115" i="41"/>
  <c r="D211" i="41"/>
  <c r="D209" i="41"/>
  <c r="D117" i="41"/>
  <c r="D111" i="41"/>
  <c r="D33" i="41"/>
  <c r="D116" i="41"/>
  <c r="D98" i="41"/>
  <c r="D99" i="41"/>
  <c r="D100" i="41"/>
  <c r="D101" i="41"/>
  <c r="D102" i="41"/>
  <c r="D103" i="41"/>
  <c r="D104" i="41"/>
  <c r="D32" i="41"/>
  <c r="D69" i="41"/>
  <c r="D208" i="41"/>
  <c r="D210" i="41"/>
  <c r="D89" i="41"/>
  <c r="D195" i="41"/>
  <c r="D196" i="41"/>
  <c r="D197" i="41"/>
  <c r="D198" i="41"/>
  <c r="D199" i="41"/>
  <c r="D200" i="41"/>
  <c r="D207" i="41"/>
  <c r="D65" i="41"/>
  <c r="D35" i="41"/>
  <c r="D88" i="41"/>
  <c r="D107" i="41"/>
  <c r="D87" i="41"/>
  <c r="D206" i="41"/>
  <c r="D67" i="41"/>
  <c r="D17" i="41"/>
  <c r="D114" i="41"/>
  <c r="D166" i="41"/>
  <c r="D66" i="41"/>
  <c r="D64" i="41"/>
  <c r="D63" i="41"/>
  <c r="D169" i="41"/>
  <c r="D113" i="41"/>
  <c r="D168" i="41"/>
  <c r="D154" i="41"/>
  <c r="D106" i="41"/>
  <c r="D165" i="41"/>
  <c r="D194" i="41"/>
  <c r="D31" i="41"/>
  <c r="D164" i="41"/>
  <c r="D193" i="41"/>
  <c r="D110" i="41"/>
  <c r="D105" i="41"/>
  <c r="D202" i="41"/>
  <c r="D97" i="41"/>
  <c r="D201" i="41"/>
  <c r="D96" i="41"/>
  <c r="D205" i="41"/>
  <c r="D109" i="41"/>
  <c r="D172" i="41"/>
  <c r="D204" i="41"/>
  <c r="D108" i="41"/>
  <c r="D171" i="41"/>
  <c r="D203" i="41"/>
</calcChain>
</file>

<file path=xl/sharedStrings.xml><?xml version="1.0" encoding="utf-8"?>
<sst xmlns="http://schemas.openxmlformats.org/spreadsheetml/2006/main" count="6165" uniqueCount="1280">
  <si>
    <t>copywrited program: May not be used or reproduced without the consent of Chip Moseley</t>
  </si>
  <si>
    <t>Seeding</t>
  </si>
  <si>
    <t>Tournament Name</t>
  </si>
  <si>
    <t>Date</t>
  </si>
  <si>
    <t>#</t>
  </si>
  <si>
    <t>Team Name</t>
  </si>
  <si>
    <t>Team Code</t>
  </si>
  <si>
    <t>Finals</t>
  </si>
  <si>
    <t>Site:</t>
  </si>
  <si>
    <t>Age</t>
  </si>
  <si>
    <t>Division</t>
  </si>
  <si>
    <t>Club</t>
  </si>
  <si>
    <t>Power</t>
  </si>
  <si>
    <t>Gym Supervisor</t>
  </si>
  <si>
    <t xml:space="preserve">Supr Cell #: </t>
  </si>
  <si>
    <t xml:space="preserve"> </t>
  </si>
  <si>
    <t>POOL:</t>
  </si>
  <si>
    <t>Team #</t>
  </si>
  <si>
    <t>Total Pool Net Points</t>
  </si>
  <si>
    <t>Game Win %</t>
  </si>
  <si>
    <t>Pool Finish</t>
  </si>
  <si>
    <t>Playoff Finish</t>
  </si>
  <si>
    <t>Games per Match (1-5)</t>
  </si>
  <si>
    <t>Matches (1-10)</t>
  </si>
  <si>
    <t>0-Count Games 1-Count Matches</t>
  </si>
  <si>
    <t>Game Win % 0 = No  1 = Yes</t>
  </si>
  <si>
    <t>Warning -- Do not use CUT/PASTE to move teams in table.  Only use COPY/PASTE or seeded cells will be corrupted.</t>
  </si>
  <si>
    <t>Sch Start</t>
  </si>
  <si>
    <t>Actual Start</t>
  </si>
  <si>
    <t>End Time</t>
  </si>
  <si>
    <t>Match 1</t>
  </si>
  <si>
    <t>1 refs</t>
  </si>
  <si>
    <t>2 refs</t>
  </si>
  <si>
    <t>3 refs</t>
  </si>
  <si>
    <t>Net Points</t>
  </si>
  <si>
    <t>v</t>
  </si>
  <si>
    <t>Game 1</t>
  </si>
  <si>
    <t>/</t>
  </si>
  <si>
    <t>Tm1 Wins</t>
  </si>
  <si>
    <t>Tm2 Wins</t>
  </si>
  <si>
    <t>Tm3 Wins</t>
  </si>
  <si>
    <t>Tm4 Wins</t>
  </si>
  <si>
    <t>Tm5 Wins</t>
  </si>
  <si>
    <t>Tm1 Play</t>
  </si>
  <si>
    <t>Tm2 Play</t>
  </si>
  <si>
    <t>Tm3 Play</t>
  </si>
  <si>
    <t>Tm4 Play</t>
  </si>
  <si>
    <t>Tm5 Play</t>
  </si>
  <si>
    <t>Games</t>
  </si>
  <si>
    <t>Game 2</t>
  </si>
  <si>
    <t>Welcome to SC Midlands-Intense</t>
  </si>
  <si>
    <t>KIDZ POWER TOURNAMENT</t>
  </si>
  <si>
    <t xml:space="preserve">Modified Rules for tournament : </t>
  </si>
  <si>
    <t xml:space="preserve">Tournament is for 12 and under development teams. </t>
  </si>
  <si>
    <t>Limit 3 serve rule: If 3 consecutive serves- we side out with no point award.  Prevents the ace server from running off 25 points. Server has only two attempts at serviing</t>
  </si>
  <si>
    <t xml:space="preserve">Serve In Rule: Players are allowed to move in on the court in order to make a successful serve. </t>
  </si>
  <si>
    <t>No Scorekeeper needed, we will just use a flip chart. We REQUIRE you have a parent/adult do this.  Prefer an adult for lines</t>
  </si>
  <si>
    <t xml:space="preserve">Unlimited Sub: Players may come in and out as desired. </t>
  </si>
  <si>
    <t>Relaxed Rules: We will relax rules and calls to encourage play.  COACH IS UP REF ONLY - no kids</t>
  </si>
  <si>
    <t xml:space="preserve">All Win: Everyone gets prizes at the end.  Come up based on final placement. </t>
  </si>
  <si>
    <t>Tie at sound of whistle- if tied at sound of whistle- there is a 1 point playoff. Serving team</t>
  </si>
  <si>
    <t xml:space="preserve">serves. </t>
  </si>
  <si>
    <t xml:space="preserve">Score Report Form must be remitted immediately following the match. Encourage a parent be assigned to bring. </t>
  </si>
  <si>
    <t>Palmetto Region Score Report Form</t>
  </si>
  <si>
    <t>Gym Site</t>
  </si>
  <si>
    <r>
      <t>COURT #</t>
    </r>
    <r>
      <rPr>
        <sz val="10"/>
        <rFont val="Arial"/>
        <family val="2"/>
      </rPr>
      <t xml:space="preserve">    1     2     3     </t>
    </r>
  </si>
  <si>
    <t>COMPLETE ALL AREAS</t>
  </si>
  <si>
    <t>Circle One</t>
  </si>
  <si>
    <r>
      <t>Age Division</t>
    </r>
    <r>
      <rPr>
        <sz val="10"/>
        <rFont val="Arial"/>
        <family val="2"/>
      </rPr>
      <t xml:space="preserve">   12     </t>
    </r>
  </si>
  <si>
    <r>
      <t>Match # Pool Play</t>
    </r>
    <r>
      <rPr>
        <sz val="10"/>
        <rFont val="Arial"/>
        <family val="2"/>
      </rPr>
      <t xml:space="preserve">   1     2     3     4     5     6   </t>
    </r>
  </si>
  <si>
    <t xml:space="preserve">Your Tm # in Pool      1    2   3    4   </t>
  </si>
  <si>
    <t xml:space="preserve">  OPP Pool Tm #     1    2    3     4    </t>
  </si>
  <si>
    <t>REPORTING TEAM NAME</t>
  </si>
  <si>
    <t>OPPONENTS TEAM NAME</t>
  </si>
  <si>
    <t xml:space="preserve">Failure to remit form to gym supervisor before the start of next match can result in 5 pt penality on your next match. </t>
  </si>
  <si>
    <t>Coaches Name</t>
  </si>
  <si>
    <t>Reporting Tm Score</t>
  </si>
  <si>
    <t>Opp. Tm Score</t>
  </si>
  <si>
    <t xml:space="preserve">FORM MUST BE GIVEN TO GYM SUPERVISOR IMMEDIATELY FOLLOWING THE MATCH BY EACH TEAM. </t>
  </si>
  <si>
    <t>Name</t>
  </si>
  <si>
    <t>Paid Amount</t>
  </si>
  <si>
    <t>Club Name</t>
  </si>
  <si>
    <t>Club Email</t>
  </si>
  <si>
    <t>Team Name w/ RegionCode</t>
  </si>
  <si>
    <t>12 Girls Developmental</t>
  </si>
  <si>
    <t>12 Girls Club</t>
  </si>
  <si>
    <t>SC Midlands Volleyball</t>
  </si>
  <si>
    <t>cynthia@scmidlandsvolleyball.com</t>
  </si>
  <si>
    <t>SC Midlands KP Garnet</t>
  </si>
  <si>
    <t>SC Midlands KP Garnet PM</t>
  </si>
  <si>
    <t>SC Midlands KP White</t>
  </si>
  <si>
    <t>SC Midlands KP White PM</t>
  </si>
  <si>
    <t>Intense Volleyball</t>
  </si>
  <si>
    <t>intensevolleyball@ymail.com</t>
  </si>
  <si>
    <t>fj1scmid4pm</t>
  </si>
  <si>
    <t>fj1scmid2pm</t>
  </si>
  <si>
    <t>fj2inten2pm</t>
  </si>
  <si>
    <t>AM will be 8:30-1:15 pm   PM wave  1:30- 6:30</t>
  </si>
  <si>
    <t>a</t>
  </si>
  <si>
    <t>Name of Event:</t>
  </si>
  <si>
    <t>Frozen Kidz Power</t>
  </si>
  <si>
    <t>Date:</t>
  </si>
  <si>
    <t>Saturday, January 09, 2016</t>
  </si>
  <si>
    <t>Location:</t>
  </si>
  <si>
    <t>For Parents</t>
  </si>
  <si>
    <t>ALWAYS CHECK WEBSITE DAY BEFORE EVENT IN CASE CHANGES HAVE BEEN MADE</t>
  </si>
  <si>
    <t>Parents- Print formats and bring- we will not have printed copies available. If you have questions, please contact your director or coach first- if they can't answer the question, they can contact host.</t>
  </si>
  <si>
    <t>DO NOT CALL FACILITIES. Food questions should be answered in this directions page or contact Host.</t>
  </si>
  <si>
    <t>TEAMS/PARENTS: Help our officials.</t>
  </si>
  <si>
    <t>The Palmetto Region this year has invested to hire supervisor professional officials to assist teams in Certifying, training, helping, supervising officiating teams, then working as R1 in playoffs in highest division in facility. Since they are there all day with little breaks, we are asking teams to offer them drinks and food- if everyone pitches in- should not be a burden on any one team. Thank you!</t>
  </si>
  <si>
    <t>Format for all Divisions are in Excel Pool file, found on region website within 2 weeks of event.</t>
  </si>
  <si>
    <t>General Tournament Information</t>
  </si>
  <si>
    <t>Palmetto Region has a NO-TOLERANCE policy on screaming, yelling, or making any derogatory remarks to ANY official (Up ref, down ref, or line judges). Keep in mind.. they are human.. and most of the time they are kids. Penalty is immediate dismissal from gym, no warning. Region teams may face sanction to participate in future tournaments. We would prefer a parent flip scores.</t>
  </si>
  <si>
    <t>Make sure you are aware of the Deadlines to drop from the event. These are posted on region website.</t>
  </si>
  <si>
    <t>Club Night Phone</t>
  </si>
  <si>
    <t>Columbia SC Starlings 12</t>
  </si>
  <si>
    <t>fj2starl1pm</t>
  </si>
  <si>
    <t>Columbia SC Starlings</t>
  </si>
  <si>
    <t>803-479-2941</t>
  </si>
  <si>
    <t>columbiascstarlings@live.com</t>
  </si>
  <si>
    <t>Columbia SC Starlings 12 PM</t>
  </si>
  <si>
    <t>Excell U12 Devel</t>
  </si>
  <si>
    <t>fj2191642pm</t>
  </si>
  <si>
    <t>Excell Sports</t>
  </si>
  <si>
    <t>864-787-5968</t>
  </si>
  <si>
    <t>excellsports.org@gmail.com</t>
  </si>
  <si>
    <t>Excell U12 Devel PM</t>
  </si>
  <si>
    <t>SC Midlands KP Gray</t>
  </si>
  <si>
    <t>fj2scmid4pm</t>
  </si>
  <si>
    <t>803-479-5780</t>
  </si>
  <si>
    <t>SC Midlands KP Gray PM</t>
  </si>
  <si>
    <t>SC Midlands KP Silver</t>
  </si>
  <si>
    <t>SC Midlands KP Silver PM</t>
  </si>
  <si>
    <t>fj2scmid2pm</t>
  </si>
  <si>
    <t>SC Midlands KP Boys</t>
  </si>
  <si>
    <t>fj2scmid3pm</t>
  </si>
  <si>
    <t>SC Midlands KP Boys PM</t>
  </si>
  <si>
    <t>USA 12 Blue</t>
  </si>
  <si>
    <t>fj2unsel1cr</t>
  </si>
  <si>
    <t>Union Select Academy</t>
  </si>
  <si>
    <t>239-839-7448</t>
  </si>
  <si>
    <t>bds89@hotmail.com</t>
  </si>
  <si>
    <t>USA 12 Blue CR</t>
  </si>
  <si>
    <t>USA 12 Purple</t>
  </si>
  <si>
    <t>fj2unsel2cr</t>
  </si>
  <si>
    <t>USA 12 Purple CR</t>
  </si>
  <si>
    <t>Intense Kids power Gvl</t>
  </si>
  <si>
    <t>Intense Kids power Gvl PM</t>
  </si>
  <si>
    <t>Intense kids power col</t>
  </si>
  <si>
    <t>fj2inten3pm</t>
  </si>
  <si>
    <t>Intense kids power col PM</t>
  </si>
  <si>
    <t>b</t>
  </si>
  <si>
    <t>Magnum 12 Black</t>
  </si>
  <si>
    <t>fj2magnm1pm</t>
  </si>
  <si>
    <t>Magnum Volleyball Club</t>
  </si>
  <si>
    <t>803-730-6100</t>
  </si>
  <si>
    <t>magnumvolleyball@gmail.com</t>
  </si>
  <si>
    <t>Magnum 12 Black PM</t>
  </si>
  <si>
    <t>Magnum Aiken 12 Green</t>
  </si>
  <si>
    <t>fj2magnm2pm</t>
  </si>
  <si>
    <t>Magnum Aiken 12 Green PM</t>
  </si>
  <si>
    <t>Magnum 12 Red</t>
  </si>
  <si>
    <t>fj2magnm3pm</t>
  </si>
  <si>
    <t>Magnum 12 Red PM</t>
  </si>
  <si>
    <t>Magnum 12 Blue</t>
  </si>
  <si>
    <t>fj2magnm4pm</t>
  </si>
  <si>
    <t>Magnum 12 Blue PM</t>
  </si>
  <si>
    <t>Magnum Aiken 12 Yellow</t>
  </si>
  <si>
    <t>fj2magnm5pm</t>
  </si>
  <si>
    <t>Magnum Aiken 12 Yellow PM</t>
  </si>
  <si>
    <t>Magnum 11 Black</t>
  </si>
  <si>
    <t>fj1magnm1pm</t>
  </si>
  <si>
    <t>Magnum 11 Black PM</t>
  </si>
  <si>
    <t>SC Midlands KP Black</t>
  </si>
  <si>
    <t>fj1scmid1pm</t>
  </si>
  <si>
    <t>SC Midlands KP Black PM</t>
  </si>
  <si>
    <t>TENTATIVE WAVE ASSIGNMENTS</t>
  </si>
  <si>
    <t>AM Wave</t>
  </si>
  <si>
    <t>PM Wave</t>
  </si>
  <si>
    <t>Version : 5.1</t>
  </si>
  <si>
    <t>Final Ranking</t>
  </si>
  <si>
    <t xml:space="preserve">Pool Ranking Multiplier = </t>
  </si>
  <si>
    <t>Kidz Power</t>
  </si>
  <si>
    <t>Initial Ranking</t>
  </si>
  <si>
    <t>Pool Play</t>
  </si>
  <si>
    <t xml:space="preserve">Playoff Ranking Multiplier = </t>
  </si>
  <si>
    <t>12U</t>
  </si>
  <si>
    <t>A1</t>
  </si>
  <si>
    <t>COURT:</t>
  </si>
  <si>
    <t>% Total
Net Points</t>
  </si>
  <si>
    <t>Teams in Pool (1-5)</t>
  </si>
  <si>
    <t># of Matches/Games per Team</t>
  </si>
  <si>
    <t>Team 10</t>
  </si>
  <si>
    <t>Code 10</t>
  </si>
  <si>
    <t>Team 11</t>
  </si>
  <si>
    <t>Code 11</t>
  </si>
  <si>
    <t>Team 12</t>
  </si>
  <si>
    <t>Code 12</t>
  </si>
  <si>
    <t xml:space="preserve"> POOL PLAY FORMAT:  Two 12 Minute Sets.</t>
  </si>
  <si>
    <t>Note: The Pool Finish Summary at the bottom of the sheet will fill in AUTOMATICALLY once the POOL FINISH column (at left) is filled in.</t>
  </si>
  <si>
    <t>Total</t>
  </si>
  <si>
    <t>Gm1 Win</t>
  </si>
  <si>
    <t>Gm2 Win</t>
  </si>
  <si>
    <t>Gm3 Win</t>
  </si>
  <si>
    <t>Gm4 Win</t>
  </si>
  <si>
    <t>Gm5 Win</t>
  </si>
  <si>
    <t>Sum Game Win/Loss</t>
  </si>
  <si>
    <t>Match Won/Lost</t>
  </si>
  <si>
    <t>Gm1 Pts</t>
  </si>
  <si>
    <t>Gm2 Pts</t>
  </si>
  <si>
    <t>Gm3 Pts</t>
  </si>
  <si>
    <t>Gm4 Pts</t>
  </si>
  <si>
    <t>Gm5 Pts</t>
  </si>
  <si>
    <t>Sum Match Points</t>
  </si>
  <si>
    <t>Matches</t>
  </si>
  <si>
    <t>Match Wins by Team</t>
  </si>
  <si>
    <t>Match Losses by Team</t>
  </si>
  <si>
    <t>Matches played by team</t>
  </si>
  <si>
    <t>Total Points played by team</t>
  </si>
  <si>
    <t>Game Wins by Team</t>
  </si>
  <si>
    <t>Game Losses by Team</t>
  </si>
  <si>
    <t>Games Played this Match</t>
  </si>
  <si>
    <t>Games played by team</t>
  </si>
  <si>
    <t>Init</t>
  </si>
  <si>
    <t>End of Pool</t>
  </si>
  <si>
    <t>Init Rating</t>
  </si>
  <si>
    <t>Exp wins</t>
  </si>
  <si>
    <t>New Rating</t>
  </si>
  <si>
    <t>B1</t>
  </si>
  <si>
    <t>C1</t>
  </si>
  <si>
    <t>POOL FINISH SUMMARY</t>
  </si>
  <si>
    <t>Enter Pool Name</t>
  </si>
  <si>
    <t>First</t>
  </si>
  <si>
    <t>Second</t>
  </si>
  <si>
    <t>Third</t>
  </si>
  <si>
    <t>Fourth</t>
  </si>
  <si>
    <t>Code</t>
  </si>
  <si>
    <t>% Net</t>
  </si>
  <si>
    <t>Pool A1</t>
  </si>
  <si>
    <t>Pool B1</t>
  </si>
  <si>
    <t>Pool C1</t>
  </si>
  <si>
    <t>A2</t>
  </si>
  <si>
    <t>B2</t>
  </si>
  <si>
    <t>C2</t>
  </si>
  <si>
    <t>Pool A2</t>
  </si>
  <si>
    <t>Pool B2</t>
  </si>
  <si>
    <t>Pool C2</t>
  </si>
  <si>
    <t>A3</t>
  </si>
  <si>
    <t>B3</t>
  </si>
  <si>
    <t>C3</t>
  </si>
  <si>
    <t>Pool A3</t>
  </si>
  <si>
    <t>Pool B3</t>
  </si>
  <si>
    <t>Pool C3</t>
  </si>
  <si>
    <t>TBD</t>
  </si>
  <si>
    <t>Lugoff Elgin High School</t>
  </si>
  <si>
    <t>List Facilities Alphabetically</t>
  </si>
  <si>
    <t>Facility Name</t>
  </si>
  <si>
    <t>Address</t>
  </si>
  <si>
    <t>1284 Highway 1 South, Lugoff, SC 29078</t>
  </si>
  <si>
    <t>Please do NOT call facility to ask questions, call host</t>
  </si>
  <si>
    <t>Special Rules:</t>
  </si>
  <si>
    <t xml:space="preserve">
No ball handling in halls, lobbies, restrooms, etc. Ball handling is limited to the court area.</t>
  </si>
  <si>
    <t>Food Rules/ Information:</t>
  </si>
  <si>
    <t>No food allowed in gym, but food maybe setup outside. Do not bring electric cooking items.</t>
  </si>
  <si>
    <t>Food Table Information:</t>
  </si>
  <si>
    <t>Teams bring their own tables.</t>
  </si>
  <si>
    <t>Seating:</t>
  </si>
  <si>
    <t>Bleachers available. No sports chairs allowed in the gym.</t>
  </si>
  <si>
    <t>Parking Location:</t>
  </si>
  <si>
    <t>Parking is available at the front of the school.</t>
  </si>
  <si>
    <t>Hotel Information</t>
  </si>
  <si>
    <t>Basic hotels avilable near exit 92 include Days Inn Lugoff and Econolodge Lugoff. If you are looking for nicer hotels, there are several off of exit 80. These include Holiday Inn Express and Hampton Inn.</t>
  </si>
  <si>
    <t>Provide detailed directions from N-S-E-W major cities from site</t>
  </si>
  <si>
    <t>From: Spartanburg and Rockhill</t>
  </si>
  <si>
    <t>From North</t>
  </si>
  <si>
    <t>From Spartanburg: Take I-26 East toward Columbia.
Take I-20 East toward Florence.
Take exit 92 - US 601 toward Lugoff/Camden.
Turn right onto Hwy 601 toward Lugoff/Camden.
Travel 2.4 miles, then take a left onto US 1 (right before Markette).
LE Middle School &amp; LE High School are about 1 mile on the right.
From Rock Hill: Take I-77 South toward Columbia.
Take I-20 East toward Florence.
Take exit 92 - US 601 toward Lugoff/Camden.
Turn right onto Hwy 601 toward Lugoff/Camden.
Travel 2.4 miles, then take a left onto US 1 (right before Markette).
LE Middle School &amp; LE High School are about 1 mile on the right.</t>
  </si>
  <si>
    <t>From: Charleston</t>
  </si>
  <si>
    <t>From South</t>
  </si>
  <si>
    <t>Take I-26 West toward Columbia. 
Take exit 116 to merge onto I-77 North toward Charlotte. 
Take exit 16 to merge onto I-20 East toward Florence. 
Take exit 92 - US 601 toward Lugoff/Camden. 
Turn right onto Hwy 601 toward Lugoff/Camden. 
Travel 2.4 miles, then take a left onto US 1 (right before Markette). 
LE Middle School &amp; LE High School are about 1 mile on the right.</t>
  </si>
  <si>
    <t>From: Florence</t>
  </si>
  <si>
    <t>From East</t>
  </si>
  <si>
    <t>Take I-20 West toward Columbia. 
Take exit 92 - US 601 toward Lugoff/Camden. 
Turn right onto Hwy 601 toward Lugoff/Camden. 
Travel 2.3 miles, then take a left onto US 1 (right before Markette). 
LE Middle School &amp; LE High School are about 1 mile on the right.</t>
  </si>
  <si>
    <t>From: Augusta</t>
  </si>
  <si>
    <t>From West</t>
  </si>
  <si>
    <t>From Augusta:
Take I-20 East toward Florence, traveling through Columbia.
Take exit 92 - US 601 toward Lugoff/Camden.
Turn right onto Hwy 601 toward Lugoff/Camden.
Travel 2.4 miles, then take a left onto US 1 (right before Markette).
LE Middle School &amp; LE High School are about 1 mile on the right.</t>
  </si>
  <si>
    <t>Direction to gym once arrived</t>
  </si>
  <si>
    <t>Proceed towards the building. Enter and look for the gym off to your right as you enter.</t>
  </si>
  <si>
    <t>Lugoff HS</t>
  </si>
  <si>
    <t>HOST:  SC Midlands  Cynthia Dimapan  cynthia@scmidlandsvolleyball.com   803-586-1822</t>
  </si>
  <si>
    <t>Cynthia Dimapan</t>
  </si>
  <si>
    <t>803-586-1822</t>
  </si>
  <si>
    <t>Supr e-mail:</t>
  </si>
  <si>
    <t>A</t>
  </si>
  <si>
    <t>4 refs</t>
  </si>
  <si>
    <t>B</t>
  </si>
  <si>
    <t>C</t>
  </si>
  <si>
    <t>Court 1</t>
  </si>
  <si>
    <t>Court 2</t>
  </si>
  <si>
    <t>Court 3</t>
  </si>
  <si>
    <t>Foothills Vanessa</t>
  </si>
  <si>
    <t>fj2footh2pm</t>
  </si>
  <si>
    <t>Foothills Volleyball Club</t>
  </si>
  <si>
    <t>foothillsvbc@yahoo.com</t>
  </si>
  <si>
    <t>Foothills Vanessa PM</t>
  </si>
  <si>
    <t>Foothills Skylar</t>
  </si>
  <si>
    <t>fj2footh3pm</t>
  </si>
  <si>
    <t>Foothills Skylar PM</t>
  </si>
  <si>
    <t>Version 3   DRAFT    12/29/15</t>
  </si>
  <si>
    <t>Entries</t>
  </si>
  <si>
    <t>R</t>
  </si>
  <si>
    <t>Rank</t>
  </si>
  <si>
    <t>Region</t>
  </si>
  <si>
    <t>Team cod</t>
  </si>
  <si>
    <t>Club name</t>
  </si>
  <si>
    <t>Level</t>
  </si>
  <si>
    <t>Current Rating</t>
  </si>
  <si>
    <t>1/2/16
Rating</t>
  </si>
  <si>
    <t>1/9/16
Rating</t>
  </si>
  <si>
    <t>1/16/16
Rating</t>
  </si>
  <si>
    <t>1/23/16
Rating</t>
  </si>
  <si>
    <t>1/30/16
Rating</t>
  </si>
  <si>
    <t>2/6/16
Rating</t>
  </si>
  <si>
    <t>2/13/16
Rating</t>
  </si>
  <si>
    <t>2/20/16
Rating</t>
  </si>
  <si>
    <t>2/27/16
 Rating</t>
  </si>
  <si>
    <t>3/5/16
Rating</t>
  </si>
  <si>
    <t>3/12/16
Rating</t>
  </si>
  <si>
    <t>3/16/16
Rating</t>
  </si>
  <si>
    <t>3/26/16
Rating</t>
  </si>
  <si>
    <t>4/3/16
Rating</t>
  </si>
  <si>
    <t>fj1crone1pm</t>
  </si>
  <si>
    <t>Carolina One</t>
  </si>
  <si>
    <t>C1VB 11 State Greenville</t>
  </si>
  <si>
    <t>fj1mvpjc1pm</t>
  </si>
  <si>
    <t>MVP</t>
  </si>
  <si>
    <t>MVP 11-Gold</t>
  </si>
  <si>
    <t>fj1motoj1pm</t>
  </si>
  <si>
    <t>MOTO</t>
  </si>
  <si>
    <t>MOTO 12'1</t>
  </si>
  <si>
    <t>fj1biltm1cr</t>
  </si>
  <si>
    <t>Biltmore Volleyball Academy</t>
  </si>
  <si>
    <t>BVA 11</t>
  </si>
  <si>
    <t>mj2caris1pm</t>
  </si>
  <si>
    <t>Carolina Islanders</t>
  </si>
  <si>
    <t>Car. Islanders Boys 12</t>
  </si>
  <si>
    <t>fj2upwrd2pm</t>
  </si>
  <si>
    <t>Upward Stars</t>
  </si>
  <si>
    <t>Upward Stars 12 Candi</t>
  </si>
  <si>
    <t>fj2mvpjc1pm</t>
  </si>
  <si>
    <t>MVP 12-Gold</t>
  </si>
  <si>
    <t>fj2atlbm1so</t>
  </si>
  <si>
    <t>Atlanta Boom Volleyball Institute</t>
  </si>
  <si>
    <t>ATL Boom 12 Orange Rox</t>
  </si>
  <si>
    <t>fj2caris1pm</t>
  </si>
  <si>
    <t>Car. Islanders 12 Elite</t>
  </si>
  <si>
    <t>fj2crone6pm</t>
  </si>
  <si>
    <t>C1VB Juniors Black</t>
  </si>
  <si>
    <t>fj2inten1pm</t>
  </si>
  <si>
    <t>Intense 12 National Elite</t>
  </si>
  <si>
    <t>fj2mvpjc2pm</t>
  </si>
  <si>
    <t>MVP 12-Black</t>
  </si>
  <si>
    <t>fj2191641pm</t>
  </si>
  <si>
    <t>Excell U12 Club</t>
  </si>
  <si>
    <t>fj2biltm1cr</t>
  </si>
  <si>
    <t>BVA 12</t>
  </si>
  <si>
    <t>fj2caris2pm</t>
  </si>
  <si>
    <t>Car. Islanders 12 Power</t>
  </si>
  <si>
    <t>fj2caris3pm</t>
  </si>
  <si>
    <t>Car.Islanders Itsy Bitsy</t>
  </si>
  <si>
    <t>fj2charl1pm</t>
  </si>
  <si>
    <t>Charleston Juniors</t>
  </si>
  <si>
    <t>Chas Jrs 12 Red</t>
  </si>
  <si>
    <t>fj2crone1pm</t>
  </si>
  <si>
    <t>C1VB 12 Regional Grvl</t>
  </si>
  <si>
    <t>fj2crone2pm</t>
  </si>
  <si>
    <t>C1VB 12 Reg Black Pickens</t>
  </si>
  <si>
    <t>fj2crone3pm</t>
  </si>
  <si>
    <t>C1VB 12 Reg Royal Pickens</t>
  </si>
  <si>
    <t>fj2crone4pm</t>
  </si>
  <si>
    <t>C1VB 12 State Greenville</t>
  </si>
  <si>
    <t>fj2crone5pm</t>
  </si>
  <si>
    <t>C1VB 12 State Pickens</t>
  </si>
  <si>
    <t>fj2crosf1pm</t>
  </si>
  <si>
    <t>Crossfire Volleyball</t>
  </si>
  <si>
    <t>Crossfire 12</t>
  </si>
  <si>
    <t>fj2csrah1pm</t>
  </si>
  <si>
    <t>CSRA Heat</t>
  </si>
  <si>
    <t>CSRA Heat 12 Gold</t>
  </si>
  <si>
    <t>fj2footh1pm</t>
  </si>
  <si>
    <t>Foothills 12U King</t>
  </si>
  <si>
    <t>fj2fortm1pm</t>
  </si>
  <si>
    <t>Fort Mill VBC</t>
  </si>
  <si>
    <t>Fort Mill VBC 12 Purple</t>
  </si>
  <si>
    <t>fj2hvelo1pm</t>
  </si>
  <si>
    <t>High Velocity VBC</t>
  </si>
  <si>
    <t>High Velocity 12's</t>
  </si>
  <si>
    <t>fj2kersh1pm</t>
  </si>
  <si>
    <t>Kershaw County Juniors</t>
  </si>
  <si>
    <t>Kershaw 12 Black</t>
  </si>
  <si>
    <t>fj2kersh2pm</t>
  </si>
  <si>
    <t>Kershaw 12 White</t>
  </si>
  <si>
    <t>fj2ladyc1pm</t>
  </si>
  <si>
    <t>Orangeburg Lady Cubs</t>
  </si>
  <si>
    <t>OLC 12s Purple</t>
  </si>
  <si>
    <t>fj2lavaf1cr</t>
  </si>
  <si>
    <t>LAVA</t>
  </si>
  <si>
    <t>LAVA Flames 12</t>
  </si>
  <si>
    <t>fj2pstri1pm</t>
  </si>
  <si>
    <t>Palmetto Strikers</t>
  </si>
  <si>
    <t>Palm Strikers 12 Platinum</t>
  </si>
  <si>
    <t>fj2rockh1pm</t>
  </si>
  <si>
    <t>Rock Hill Volleyball Club</t>
  </si>
  <si>
    <t>RHVC 12 Club Brooke</t>
  </si>
  <si>
    <t>fj2scmid1pm</t>
  </si>
  <si>
    <t>SC Midlands 12 Black</t>
  </si>
  <si>
    <t>fj2soarj1pm</t>
  </si>
  <si>
    <t>Soar VBC</t>
  </si>
  <si>
    <t>SOAR RISE 12U</t>
  </si>
  <si>
    <t>fj2soarj2pm</t>
  </si>
  <si>
    <t>Soar Court 12U</t>
  </si>
  <si>
    <t>fj2lakem1pm</t>
  </si>
  <si>
    <t>Lake Murray Volleyball Club</t>
  </si>
  <si>
    <t>Lake Murray 12 Black</t>
  </si>
  <si>
    <t>fj2crone7pm</t>
  </si>
  <si>
    <t>C1VB Juniors Royal</t>
  </si>
  <si>
    <t>fj2crone8pm</t>
  </si>
  <si>
    <t>C1VB Juniors White</t>
  </si>
  <si>
    <t>fj2kersh4pm</t>
  </si>
  <si>
    <t>Kershaw Dev 12 Black</t>
  </si>
  <si>
    <t>fj2netvc2so</t>
  </si>
  <si>
    <t>NETVC</t>
  </si>
  <si>
    <t>NETVC 12MA</t>
  </si>
  <si>
    <t>fj3alexa1cr</t>
  </si>
  <si>
    <t>Alexander Aces</t>
  </si>
  <si>
    <t>Alexander Aces 13's</t>
  </si>
  <si>
    <t>fj3atlbm1so</t>
  </si>
  <si>
    <t>ATL Boom 13 DiamondRox</t>
  </si>
  <si>
    <t>fj3charl1pm</t>
  </si>
  <si>
    <t>Chas Jrs 13 Red</t>
  </si>
  <si>
    <t>fj3cjvvb1cr</t>
  </si>
  <si>
    <t>Carolina Juniors Volleyball</t>
  </si>
  <si>
    <t>CJV 13 - 1</t>
  </si>
  <si>
    <t>fj3crone1pm</t>
  </si>
  <si>
    <t>C1VB 13 Power Grvl</t>
  </si>
  <si>
    <t>fj3csrah1pm</t>
  </si>
  <si>
    <t>CSRA Heat 13 Gold</t>
  </si>
  <si>
    <t>fj3fortm1pm</t>
  </si>
  <si>
    <t>Fort Mill VBC 13 Purple</t>
  </si>
  <si>
    <t>fj3grand1pm</t>
  </si>
  <si>
    <t>GRAND STRAND JUNIORS VOLLEYBALL</t>
  </si>
  <si>
    <t>GSJ 13 Randy</t>
  </si>
  <si>
    <t>fj3lowco1pm</t>
  </si>
  <si>
    <t>Low Country Volleyball Club</t>
  </si>
  <si>
    <t>Low Country 13 Open</t>
  </si>
  <si>
    <t>fj3magnm1pm</t>
  </si>
  <si>
    <t>Magnum 13 Mizuno</t>
  </si>
  <si>
    <t>fj3magnm2pm</t>
  </si>
  <si>
    <t>Magnum 13 Black</t>
  </si>
  <si>
    <t>fj3magnm3pm</t>
  </si>
  <si>
    <t>Magnum Aiken 13 Green</t>
  </si>
  <si>
    <t>fj3pstri1pm</t>
  </si>
  <si>
    <t>Palm Strikers 13 Platinum</t>
  </si>
  <si>
    <t>fj3pstri2pm</t>
  </si>
  <si>
    <t>Palm Strikers 13 Premier</t>
  </si>
  <si>
    <t>fj3ruvjr1od</t>
  </si>
  <si>
    <t>Roanoke United</t>
  </si>
  <si>
    <t>Roanoke 13 Red</t>
  </si>
  <si>
    <t>fj3scmid1pm</t>
  </si>
  <si>
    <t>SC Midlands 13 Nat Elite</t>
  </si>
  <si>
    <t>fj3setpt1cr</t>
  </si>
  <si>
    <t>Set Point Volleyball Club</t>
  </si>
  <si>
    <t>Set Point 13 Black</t>
  </si>
  <si>
    <t>fj3unsel1cr</t>
  </si>
  <si>
    <t>USA 13 Blue</t>
  </si>
  <si>
    <t>fj3upwrd2pm</t>
  </si>
  <si>
    <t>Upward Stars 13 Becky</t>
  </si>
  <si>
    <t>fj3upwrd3pm</t>
  </si>
  <si>
    <t>Upward Stars 13 BrittanyL</t>
  </si>
  <si>
    <t>fj3upwrd4pm</t>
  </si>
  <si>
    <t>Upward Stars 13 Emily</t>
  </si>
  <si>
    <t>fj3upwrd5pm</t>
  </si>
  <si>
    <t>Upward Stars 13 Abbey</t>
  </si>
  <si>
    <t>fj3vison1pm</t>
  </si>
  <si>
    <t>Vision</t>
  </si>
  <si>
    <t>Vision 13 National</t>
  </si>
  <si>
    <t>fj3inten1pm</t>
  </si>
  <si>
    <t>Intense13 national Elite</t>
  </si>
  <si>
    <t>fj3inten2pm</t>
  </si>
  <si>
    <t>Intense 13 Pro Elite</t>
  </si>
  <si>
    <t>fj3196891pm</t>
  </si>
  <si>
    <t>Carolina Express</t>
  </si>
  <si>
    <t>fj3sptac1cr</t>
  </si>
  <si>
    <t>SPORTS ACADEMY</t>
  </si>
  <si>
    <t>Sports Academy 13 Fire</t>
  </si>
  <si>
    <t>fj3motojapm</t>
  </si>
  <si>
    <t>MOTO 13-1 IGNITE</t>
  </si>
  <si>
    <t>fj3charl2pm</t>
  </si>
  <si>
    <t>Chas Jrs 13 Blue</t>
  </si>
  <si>
    <t>fj3magnm4pm</t>
  </si>
  <si>
    <t>Magnum 13 Blue</t>
  </si>
  <si>
    <t>fj3prage1pm</t>
  </si>
  <si>
    <t>Palmetto Rage Volleyball Club</t>
  </si>
  <si>
    <t>PRV - 13U Bayley</t>
  </si>
  <si>
    <t>fj3prage2pm</t>
  </si>
  <si>
    <t>PRV - 13U Brittany</t>
  </si>
  <si>
    <t>fj3biltm1cr</t>
  </si>
  <si>
    <t>BVA 13 Black</t>
  </si>
  <si>
    <t>fj3biltm2cr</t>
  </si>
  <si>
    <t>BVA 13 White</t>
  </si>
  <si>
    <t>fj3biltm3cr</t>
  </si>
  <si>
    <t>BVA 13 Purple</t>
  </si>
  <si>
    <t>fj3ccoas1pm</t>
  </si>
  <si>
    <t>club coastal volleyball</t>
  </si>
  <si>
    <t>Coastal 13 Wave</t>
  </si>
  <si>
    <t>fj3charl3pm</t>
  </si>
  <si>
    <t>Chas Jrs 13 White</t>
  </si>
  <si>
    <t>fj3crone2pm</t>
  </si>
  <si>
    <t>C1VB 13 Regional Grvl</t>
  </si>
  <si>
    <t>fj3crone3pm</t>
  </si>
  <si>
    <t>C1VB 13 State Black Grvl</t>
  </si>
  <si>
    <t>fj3crone4pm</t>
  </si>
  <si>
    <t>C1VB 13 State Royal Grvl</t>
  </si>
  <si>
    <t>fj3crosf1pm</t>
  </si>
  <si>
    <t>Crossfire 13</t>
  </si>
  <si>
    <t>fj3csrah2pm</t>
  </si>
  <si>
    <t>CSRA Heat 13 Black</t>
  </si>
  <si>
    <t>fj3csrah3pm</t>
  </si>
  <si>
    <t>CSRA Heat 13 Red</t>
  </si>
  <si>
    <t>fj3extvb1so</t>
  </si>
  <si>
    <t>Extreme Volleyball Club</t>
  </si>
  <si>
    <t>Extreme 13-1</t>
  </si>
  <si>
    <t>fj3extvb2so</t>
  </si>
  <si>
    <t>Extreme 13-2</t>
  </si>
  <si>
    <t>fj3footh1pm</t>
  </si>
  <si>
    <t>Foothills 13 May</t>
  </si>
  <si>
    <t>fj3hvelo1pm</t>
  </si>
  <si>
    <t>High Velocity 13's</t>
  </si>
  <si>
    <t>fj3kersh1pm</t>
  </si>
  <si>
    <t>Kershaw 13 Black</t>
  </si>
  <si>
    <t>fj3kvcjr1pm</t>
  </si>
  <si>
    <t>KVC Jrs</t>
  </si>
  <si>
    <t>KVC 13</t>
  </si>
  <si>
    <t>fj3kvctn1so</t>
  </si>
  <si>
    <t>Kingsport Volleyball Club</t>
  </si>
  <si>
    <t>KVC 13-1</t>
  </si>
  <si>
    <t>fj3ladyc1pm</t>
  </si>
  <si>
    <t>OLC 13s Purple</t>
  </si>
  <si>
    <t>fj3lakem2pm</t>
  </si>
  <si>
    <t>Lake Murray 13 Black</t>
  </si>
  <si>
    <t>fj3lavaf1cr</t>
  </si>
  <si>
    <t>LAVA 13U Purple</t>
  </si>
  <si>
    <t>fj3lavaf2cr</t>
  </si>
  <si>
    <t>LAVA 13U White</t>
  </si>
  <si>
    <t>fj3magnm5pm</t>
  </si>
  <si>
    <t>Magnum 13 Red</t>
  </si>
  <si>
    <t>fj3magnm6pm</t>
  </si>
  <si>
    <t>Magnum Aiken 13 Yellow</t>
  </si>
  <si>
    <t>fj3magnm7pm</t>
  </si>
  <si>
    <t>Magnum 13 Grey</t>
  </si>
  <si>
    <t>fj3magnm8pm</t>
  </si>
  <si>
    <t>Magnum 13 Orange</t>
  </si>
  <si>
    <t>fj3motoj2pm</t>
  </si>
  <si>
    <t>MOTO 13-2 IGNITE</t>
  </si>
  <si>
    <t>fj3mtnel1pm</t>
  </si>
  <si>
    <t>Mountain Elite Volleyball Club</t>
  </si>
  <si>
    <t>MEVC13U</t>
  </si>
  <si>
    <t>fj3netvc1so</t>
  </si>
  <si>
    <t>NETVC 13Van</t>
  </si>
  <si>
    <t>fj3netvc2so</t>
  </si>
  <si>
    <t>NETVC 13HS</t>
  </si>
  <si>
    <t>fj3rockh1pm</t>
  </si>
  <si>
    <t>RHVC 13 Club Jade</t>
  </si>
  <si>
    <t>fj3scmid2pm</t>
  </si>
  <si>
    <t>SC Midlands 13 Black</t>
  </si>
  <si>
    <t>fj3scmid3pm</t>
  </si>
  <si>
    <t>SC Midlands 13 Garnet</t>
  </si>
  <si>
    <t>fj3soarj1pm</t>
  </si>
  <si>
    <t>SOAR WINGS 13U</t>
  </si>
  <si>
    <t>fj3sumtr1pm</t>
  </si>
  <si>
    <t>Sumter VBC</t>
  </si>
  <si>
    <t>Sumter VBC 13</t>
  </si>
  <si>
    <t>fj3vison2pm</t>
  </si>
  <si>
    <t>Vision 13 Regional Ben</t>
  </si>
  <si>
    <t>fj3vison3pm</t>
  </si>
  <si>
    <t>Vision 13 Regional</t>
  </si>
  <si>
    <t>fj4scmid1pm</t>
  </si>
  <si>
    <t>SC Midlands 14 Nat Elite</t>
  </si>
  <si>
    <t>fj4191641pm</t>
  </si>
  <si>
    <t>Excell U14 Elite</t>
  </si>
  <si>
    <t>fj4afive4so</t>
  </si>
  <si>
    <t>A5 Volleyball Club</t>
  </si>
  <si>
    <t>A5 Mizuno 14-4 Michelle</t>
  </si>
  <si>
    <t>fj4atlbm1so</t>
  </si>
  <si>
    <t>ATL Boom 14 Orange Rox</t>
  </si>
  <si>
    <t>fj4biltm1cr</t>
  </si>
  <si>
    <t>BVA 14N</t>
  </si>
  <si>
    <t>fj4charl1pm</t>
  </si>
  <si>
    <t>Chas Jrs 14 Red</t>
  </si>
  <si>
    <t>fj4charl2pm</t>
  </si>
  <si>
    <t>Chas Jrs 14 Blue</t>
  </si>
  <si>
    <t>fj4crone1pm</t>
  </si>
  <si>
    <t>C1VB 14 Elite Greenville</t>
  </si>
  <si>
    <t>fj4crone2pm</t>
  </si>
  <si>
    <t>C1VB 14 Power Grvl</t>
  </si>
  <si>
    <t>fj4crone3pm</t>
  </si>
  <si>
    <t>C1VB 14 Power Pickens</t>
  </si>
  <si>
    <t>fj4csrah1pm</t>
  </si>
  <si>
    <t>CSRA Heat 14 Gold</t>
  </si>
  <si>
    <t>fj4grand1pm</t>
  </si>
  <si>
    <t>GSJ 14 Aly</t>
  </si>
  <si>
    <t>fj4grand2pm</t>
  </si>
  <si>
    <t>GSJ 14 Kristin</t>
  </si>
  <si>
    <t>fj4hrock1cr</t>
  </si>
  <si>
    <t>High Rock VBC</t>
  </si>
  <si>
    <t>HRVC TEAM RICOCHET</t>
  </si>
  <si>
    <t>fj4hrock2cr</t>
  </si>
  <si>
    <t>HRVC SIDE OUT</t>
  </si>
  <si>
    <t>fj4kersh1pm</t>
  </si>
  <si>
    <t>Kershaw 14 Black</t>
  </si>
  <si>
    <t>fj4lakem1pm</t>
  </si>
  <si>
    <t>Lake Murray 14 Red</t>
  </si>
  <si>
    <t>fj4lowco1pm</t>
  </si>
  <si>
    <t>Low Country 14 Power</t>
  </si>
  <si>
    <t>fj4magnm1pm</t>
  </si>
  <si>
    <t>Magnum 14 Mizuno</t>
  </si>
  <si>
    <t>fj4magnm2pm</t>
  </si>
  <si>
    <t>Magnum 14 Elite</t>
  </si>
  <si>
    <t>fj4magnm3pm</t>
  </si>
  <si>
    <t>Magnum Aiken 14 Green</t>
  </si>
  <si>
    <t>fj4metro1so</t>
  </si>
  <si>
    <t>Metro Volleyball Club</t>
  </si>
  <si>
    <t>METRO-ATL 14 ELITE</t>
  </si>
  <si>
    <t>fj4netvc2so</t>
  </si>
  <si>
    <t>NETVC 14SK</t>
  </si>
  <si>
    <t>fj4pjvbc1od</t>
  </si>
  <si>
    <t>Peninsula Juniors Volleyball Club (ODR)</t>
  </si>
  <si>
    <t>PJVBC 14 Mizuno</t>
  </si>
  <si>
    <t>fj4prage1pm</t>
  </si>
  <si>
    <t>PRV -14U Janice</t>
  </si>
  <si>
    <t>fj4pstri1pm</t>
  </si>
  <si>
    <t>Palm Strikers 14 Platinum</t>
  </si>
  <si>
    <t>fj4rockh1pm</t>
  </si>
  <si>
    <t>RHVC 14 Power</t>
  </si>
  <si>
    <t>fj4scmid2pm</t>
  </si>
  <si>
    <t>SC Midlands 14 Pro Elite</t>
  </si>
  <si>
    <t>fj4setpt1cr</t>
  </si>
  <si>
    <t>Set Point 14 Black</t>
  </si>
  <si>
    <t>fj4setpt2cr</t>
  </si>
  <si>
    <t>Set Point 14 Gold</t>
  </si>
  <si>
    <t>fj4soarj1pm</t>
  </si>
  <si>
    <t>SOAR BLUE 14UP</t>
  </si>
  <si>
    <t>fj4unsel1cr</t>
  </si>
  <si>
    <t>USA 14 Purple</t>
  </si>
  <si>
    <t>fj4upsvc1pm</t>
  </si>
  <si>
    <t>Upstate Volleyball Club</t>
  </si>
  <si>
    <t>Upstate 14-1 Power</t>
  </si>
  <si>
    <t>fj4upwrd2pm</t>
  </si>
  <si>
    <t>Upward Stars 14 Bridgette</t>
  </si>
  <si>
    <t>fj4vison1pm</t>
  </si>
  <si>
    <t>Vision 14 National</t>
  </si>
  <si>
    <t>fj4inten1pm</t>
  </si>
  <si>
    <t>Intense 14 National Elite</t>
  </si>
  <si>
    <t>fj4ccoas1pm</t>
  </si>
  <si>
    <t>Coastal 14 Storm</t>
  </si>
  <si>
    <t>fj4inten2pm</t>
  </si>
  <si>
    <t>Intense 14 Pro Elite</t>
  </si>
  <si>
    <t>fj4kvcjr1pm</t>
  </si>
  <si>
    <t>KVC 14</t>
  </si>
  <si>
    <t>fj4mtnel1pm</t>
  </si>
  <si>
    <t>MEVC14Power</t>
  </si>
  <si>
    <t>fj4beauf1pm</t>
  </si>
  <si>
    <t>Beaufort Volleyball Club</t>
  </si>
  <si>
    <t>Beaufort 14 National</t>
  </si>
  <si>
    <t>fj4motoj1pm</t>
  </si>
  <si>
    <t>MOTO 14's</t>
  </si>
  <si>
    <t>fj4mbeac2pm</t>
  </si>
  <si>
    <t>MBVC</t>
  </si>
  <si>
    <t>MBVC 14 Red</t>
  </si>
  <si>
    <t>fj4upsvc2pm</t>
  </si>
  <si>
    <t>Upstate 14-2 Club</t>
  </si>
  <si>
    <t>fj4beauf2pm</t>
  </si>
  <si>
    <t>Beaufort 14 Club</t>
  </si>
  <si>
    <t>fj4biltm2cr</t>
  </si>
  <si>
    <t>BVA 14 Black</t>
  </si>
  <si>
    <t>fj4biltm3cr</t>
  </si>
  <si>
    <t>BVA 14W</t>
  </si>
  <si>
    <t>fj4branc3pm</t>
  </si>
  <si>
    <t>Branchville Juniors</t>
  </si>
  <si>
    <t>Branchville U14 Juniors</t>
  </si>
  <si>
    <t>fj4caris3pm</t>
  </si>
  <si>
    <t>Car. Islanders 14 Perform</t>
  </si>
  <si>
    <t>fj4charl3pm</t>
  </si>
  <si>
    <t>Chas Jrs 14 White</t>
  </si>
  <si>
    <t>fj4clebl1cr</t>
  </si>
  <si>
    <t>Cleveland County Blitz VBc</t>
  </si>
  <si>
    <t>Blitz14 Black</t>
  </si>
  <si>
    <t>fj4crone4pm</t>
  </si>
  <si>
    <t>C1VB 14 Reg Black Grvl</t>
  </si>
  <si>
    <t>fj4crone5pm</t>
  </si>
  <si>
    <t>C1VB 14 Reg Royal Grvl</t>
  </si>
  <si>
    <t>fj4crone6pm</t>
  </si>
  <si>
    <t>C1VB 14 Regional Pickens</t>
  </si>
  <si>
    <t>fj4crone7pm</t>
  </si>
  <si>
    <t>C1VB 14 State Grvl</t>
  </si>
  <si>
    <t>fj4csrah2pm</t>
  </si>
  <si>
    <t>CSRA Heat 14 Black</t>
  </si>
  <si>
    <t>fj4extvb1so</t>
  </si>
  <si>
    <t>Extreme 14-1</t>
  </si>
  <si>
    <t>fj4extvb2so</t>
  </si>
  <si>
    <t>Extreme 14-2</t>
  </si>
  <si>
    <t>fj4footh1pm</t>
  </si>
  <si>
    <t>Foothills 14 Holland</t>
  </si>
  <si>
    <t>fj4inten3pm</t>
  </si>
  <si>
    <t>Intense 14 Region Elite</t>
  </si>
  <si>
    <t>fj4kersh2pm</t>
  </si>
  <si>
    <t>Kershaw 14 White</t>
  </si>
  <si>
    <t>fj4lakem2pm</t>
  </si>
  <si>
    <t>Lake Murray 14 Black</t>
  </si>
  <si>
    <t>fj4lavaf1cr</t>
  </si>
  <si>
    <t>LAVA 14U Purple</t>
  </si>
  <si>
    <t>fj4magnm4pm</t>
  </si>
  <si>
    <t>Magnum Greenwood 14 Gold</t>
  </si>
  <si>
    <t>fj4magnm5pm</t>
  </si>
  <si>
    <t>Magnum 14 Black</t>
  </si>
  <si>
    <t>fj4magnm6pm</t>
  </si>
  <si>
    <t>Magnum Aiken 14 Yellow</t>
  </si>
  <si>
    <t>fj4magnm7pm</t>
  </si>
  <si>
    <t>Magnum Greenwood 14 White</t>
  </si>
  <si>
    <t>fj4magnm8pm</t>
  </si>
  <si>
    <t>Magnum Gilbert 14 Gray</t>
  </si>
  <si>
    <t>fj4magnm9pm</t>
  </si>
  <si>
    <t>Magnum Greenwood 14 Purpl</t>
  </si>
  <si>
    <t>fj4mbeac1pm</t>
  </si>
  <si>
    <t>MBVC 14 Black</t>
  </si>
  <si>
    <t>fj4netvc3so</t>
  </si>
  <si>
    <t>NETVC 14AMy</t>
  </si>
  <si>
    <t>fj4pstri2pm</t>
  </si>
  <si>
    <t>Palm Strikers 14 Select</t>
  </si>
  <si>
    <t>fj4rockh2pm</t>
  </si>
  <si>
    <t>RHVC 14 Club Hunter</t>
  </si>
  <si>
    <t>fj4scmid3pm</t>
  </si>
  <si>
    <t>SC Midlands 14 Black</t>
  </si>
  <si>
    <t>fj4scmid4pm</t>
  </si>
  <si>
    <t>SC Midlands 14 Garnet</t>
  </si>
  <si>
    <t>fj4shlby1cr</t>
  </si>
  <si>
    <t>Shelby Strikers</t>
  </si>
  <si>
    <t>fj4smvbc1cr</t>
  </si>
  <si>
    <t>Smoky Mountain Volleyball Club</t>
  </si>
  <si>
    <t>SMVC Royals 14</t>
  </si>
  <si>
    <t>fj4soarj2pm</t>
  </si>
  <si>
    <t>SOAR EAGLES 14U</t>
  </si>
  <si>
    <t>fj4sumtr1pm</t>
  </si>
  <si>
    <t>Sumter VBC 14</t>
  </si>
  <si>
    <t>fj4triex1so</t>
  </si>
  <si>
    <t>Tri-Cities Extreme Velocity</t>
  </si>
  <si>
    <t>Extreme 14 Amber</t>
  </si>
  <si>
    <t>fj4triex2so</t>
  </si>
  <si>
    <t>Extreme 14 Miranda</t>
  </si>
  <si>
    <t>fj4vison2pm</t>
  </si>
  <si>
    <t>Vision 14 Regional</t>
  </si>
  <si>
    <t>fj5scmid1pm</t>
  </si>
  <si>
    <t>SC Midlands 15 Nat Elite</t>
  </si>
  <si>
    <t>fj5upsvc1pm</t>
  </si>
  <si>
    <t>Upstate 15-1 National</t>
  </si>
  <si>
    <t>fj5ccoas2pm</t>
  </si>
  <si>
    <t>Coastal 16 Hurricanes</t>
  </si>
  <si>
    <t>fj5atlbm1so</t>
  </si>
  <si>
    <t>ATL Boom 15DiamondRox</t>
  </si>
  <si>
    <t>fj5biltm1cr</t>
  </si>
  <si>
    <t>Biltmore 15 Elite</t>
  </si>
  <si>
    <t>fj5biltm2cr</t>
  </si>
  <si>
    <t>BVA 15 National</t>
  </si>
  <si>
    <t>fj5bvcal1so</t>
  </si>
  <si>
    <t>Birmingham Volleyball Club</t>
  </si>
  <si>
    <t>BVC 15 Black</t>
  </si>
  <si>
    <t>fj5charl1pm</t>
  </si>
  <si>
    <t>Chas Jrs 15 Red</t>
  </si>
  <si>
    <t>fj5chavb1cr</t>
  </si>
  <si>
    <t>Chapel Hill Area Volleyball Club</t>
  </si>
  <si>
    <t>CHAVC 15 National</t>
  </si>
  <si>
    <t>fj5crone1pm</t>
  </si>
  <si>
    <t>C1VB 15 Elite Pickens</t>
  </si>
  <si>
    <t>fj5crone2pm</t>
  </si>
  <si>
    <t>C1VB 15 Elite Greenville</t>
  </si>
  <si>
    <t>fj5crone3pm</t>
  </si>
  <si>
    <t>C1VB 15 Power Grvl</t>
  </si>
  <si>
    <t>fj5crosf1pm</t>
  </si>
  <si>
    <t>Crossfire 15 Power</t>
  </si>
  <si>
    <t>fj5csrah1pm</t>
  </si>
  <si>
    <t>CSRA Heat 15 Gold</t>
  </si>
  <si>
    <t>fj5fortm1pm</t>
  </si>
  <si>
    <t>Fort Mill VBC 15 Purple</t>
  </si>
  <si>
    <t>fj5grand1pm</t>
  </si>
  <si>
    <t>GSJ 15 Alex</t>
  </si>
  <si>
    <t>fj5grand2pm</t>
  </si>
  <si>
    <t>GSJ 15 Jason</t>
  </si>
  <si>
    <t>fj5hrock2cr</t>
  </si>
  <si>
    <t>HRVC LEGACY</t>
  </si>
  <si>
    <t>fj5hurrc1pm</t>
  </si>
  <si>
    <t>Hurricane Volleyball Club</t>
  </si>
  <si>
    <t>Hurricane VBC 15 Riptide</t>
  </si>
  <si>
    <t>fj5hvelo1pm</t>
  </si>
  <si>
    <t>High Velocity 15's</t>
  </si>
  <si>
    <t>fj5lakem1pm</t>
  </si>
  <si>
    <t>Lake Murray 15 Red</t>
  </si>
  <si>
    <t>fj5lburg1cr</t>
  </si>
  <si>
    <t>Louisburg Volleyball Club</t>
  </si>
  <si>
    <t>Louisburg Bombers15 Black</t>
  </si>
  <si>
    <t>fj5lowco1pm</t>
  </si>
  <si>
    <t>Low Country 15 Open</t>
  </si>
  <si>
    <t>fj5lynch1od</t>
  </si>
  <si>
    <t>Lynchburg volleyball academy</t>
  </si>
  <si>
    <t>Lynchburg Volleyball</t>
  </si>
  <si>
    <t>fj5magnm1pm</t>
  </si>
  <si>
    <t>Magnum 15 Mizuno</t>
  </si>
  <si>
    <t>fj5magnm2pm</t>
  </si>
  <si>
    <t>Magnum 15 Elite</t>
  </si>
  <si>
    <t>fj5magnm3pm</t>
  </si>
  <si>
    <t>Magnum Aiken 15 Green</t>
  </si>
  <si>
    <t>fj5magnm5pm</t>
  </si>
  <si>
    <t>Magnum 15 Black</t>
  </si>
  <si>
    <t>fj5metro1so</t>
  </si>
  <si>
    <t>METRO-ATL 15 ELITE</t>
  </si>
  <si>
    <t>fj5prage1pm</t>
  </si>
  <si>
    <t>PRV -15U Lisa</t>
  </si>
  <si>
    <t>fj5prage2pm</t>
  </si>
  <si>
    <t>PRV - 15U Emily</t>
  </si>
  <si>
    <t>fj5pstri1pm</t>
  </si>
  <si>
    <t>Palm Strikers 15 National</t>
  </si>
  <si>
    <t>fj5rockh1pm</t>
  </si>
  <si>
    <t>RHVC 15 Power Black</t>
  </si>
  <si>
    <t>fj5rockh2pm</t>
  </si>
  <si>
    <t>RHVC 15 Power Red</t>
  </si>
  <si>
    <t>fj5scmid2pm</t>
  </si>
  <si>
    <t>SC Midlands 15 Pro Elite</t>
  </si>
  <si>
    <t>fj5sctwo1cr</t>
  </si>
  <si>
    <t>(SC)2</t>
  </si>
  <si>
    <t>(SC)2 15u White</t>
  </si>
  <si>
    <t>fj5sctwo2cr</t>
  </si>
  <si>
    <t>(SC)2 15u Grey</t>
  </si>
  <si>
    <t>fj5setpt2cr</t>
  </si>
  <si>
    <t>Set Point 15 Gold</t>
  </si>
  <si>
    <t>fj5tlife1cr</t>
  </si>
  <si>
    <t>Team Life Volleyball Club</t>
  </si>
  <si>
    <t>TLVC 15</t>
  </si>
  <si>
    <t>fj5trcvb2cr</t>
  </si>
  <si>
    <t>TriCounty Volleyball Club</t>
  </si>
  <si>
    <t>TCV 15 Kaos</t>
  </si>
  <si>
    <t>fj5upsvc2pm</t>
  </si>
  <si>
    <t>Upstate 15-2 Power</t>
  </si>
  <si>
    <t>fj5upwrd2pm</t>
  </si>
  <si>
    <t>Upward Stars 15 Taylor</t>
  </si>
  <si>
    <t>fj5upwrd3pm</t>
  </si>
  <si>
    <t>Upward Stars 15 Mark</t>
  </si>
  <si>
    <t>fj5vison1pm</t>
  </si>
  <si>
    <t>Vision 15 National</t>
  </si>
  <si>
    <t>fj5csrah2pm</t>
  </si>
  <si>
    <t>CSRA Heat 15 Black</t>
  </si>
  <si>
    <t>fj5inten1pm</t>
  </si>
  <si>
    <t>Intense 15 National Elite</t>
  </si>
  <si>
    <t>fj5pstri2pm</t>
  </si>
  <si>
    <t>Palm Strikers 15 Plat LH</t>
  </si>
  <si>
    <t>fj5motoj2pm</t>
  </si>
  <si>
    <t>MOTO 15's</t>
  </si>
  <si>
    <t>fj5beauf1pm</t>
  </si>
  <si>
    <t>Beaufort 15 U</t>
  </si>
  <si>
    <t>fj5vosav1so</t>
  </si>
  <si>
    <t>V-1 Academy</t>
  </si>
  <si>
    <t>V-1 Academy SAV 15 Lucas</t>
  </si>
  <si>
    <t>fj5aelit1pm</t>
  </si>
  <si>
    <t>Augusta Elite</t>
  </si>
  <si>
    <t>Augusta Elite 15U</t>
  </si>
  <si>
    <t>fj5aevbc1cr</t>
  </si>
  <si>
    <t>Alamance Eagles Volleyball Club</t>
  </si>
  <si>
    <t>ALAMANCE EAGLES</t>
  </si>
  <si>
    <t>fj5atown1pm</t>
  </si>
  <si>
    <t>ATown Volleyball Academy</t>
  </si>
  <si>
    <t>ATown 15 Black</t>
  </si>
  <si>
    <t>fj5biltm3cr</t>
  </si>
  <si>
    <t>BVA 15 R</t>
  </si>
  <si>
    <t>fj5caris2pm</t>
  </si>
  <si>
    <t>Car. Islanders 15 Power</t>
  </si>
  <si>
    <t>fj5charl2pm</t>
  </si>
  <si>
    <t>Chas Jrs 15 Blue</t>
  </si>
  <si>
    <t>fj5cjvvb3cr</t>
  </si>
  <si>
    <t>CJV 15 R South</t>
  </si>
  <si>
    <t>fj5crone4pm</t>
  </si>
  <si>
    <t>C1VB 15 Regional Grvl</t>
  </si>
  <si>
    <t>fj5csrah3pm</t>
  </si>
  <si>
    <t>CSRA Heat 15 Red</t>
  </si>
  <si>
    <t>fj5footh1pm</t>
  </si>
  <si>
    <t>Foothills 15 CJ</t>
  </si>
  <si>
    <t>fj5inten2pm</t>
  </si>
  <si>
    <t>Intense 15 Regional Elite</t>
  </si>
  <si>
    <t>fj5kersh1pm</t>
  </si>
  <si>
    <t>Kershaw 15 Black</t>
  </si>
  <si>
    <t>fj5ladyc1pm</t>
  </si>
  <si>
    <t>OLC 15s Purple</t>
  </si>
  <si>
    <t>fj5ladyc2pm</t>
  </si>
  <si>
    <t>OLC 15s White</t>
  </si>
  <si>
    <t>fj5lakem2pm</t>
  </si>
  <si>
    <t>Lake Murray 15 Black</t>
  </si>
  <si>
    <t>fj5lavaf1cr</t>
  </si>
  <si>
    <t>LAVA 15U Purple</t>
  </si>
  <si>
    <t>fj5magnm4pm</t>
  </si>
  <si>
    <t>Magnum Aiken 15 Yellow</t>
  </si>
  <si>
    <t>fj5magnm6pm</t>
  </si>
  <si>
    <t>Magnum Greenwood 15 Gold</t>
  </si>
  <si>
    <t>fj5scmid3pm</t>
  </si>
  <si>
    <t>SC Midlands 15 Black</t>
  </si>
  <si>
    <t>fj5triex1so</t>
  </si>
  <si>
    <t>Extreme 15 Meredith</t>
  </si>
  <si>
    <t>fj6scmid1pm</t>
  </si>
  <si>
    <t>SC Midlands 16 Nat Elite</t>
  </si>
  <si>
    <t>fj6191641pm</t>
  </si>
  <si>
    <t>Excell U16 Power</t>
  </si>
  <si>
    <t>fj6atlbm1so</t>
  </si>
  <si>
    <t>ATL Boom 16DiamondRox</t>
  </si>
  <si>
    <t>fj6biltm1cr</t>
  </si>
  <si>
    <t>BVA 16 Elite</t>
  </si>
  <si>
    <t>fj6biltm2cr</t>
  </si>
  <si>
    <t>BVA 16 National</t>
  </si>
  <si>
    <t>fj6charl1pm</t>
  </si>
  <si>
    <t>Chas Jrs 16 Red</t>
  </si>
  <si>
    <t>fj6chavb1cr</t>
  </si>
  <si>
    <t>CHAVC 16 National</t>
  </si>
  <si>
    <t>fj6crone1pm</t>
  </si>
  <si>
    <t>C1VB 16 Power Grvl</t>
  </si>
  <si>
    <t>fj6crosf1pm</t>
  </si>
  <si>
    <t>Crossfire 16 Power</t>
  </si>
  <si>
    <t>fj6csrah1pm</t>
  </si>
  <si>
    <t>CSRA Heat 16 Gold</t>
  </si>
  <si>
    <t>fj6fortm1pm</t>
  </si>
  <si>
    <t>Fort Mill VBC 16 Purple</t>
  </si>
  <si>
    <t>fj6grand1pm</t>
  </si>
  <si>
    <t>GSJ 16 Chris</t>
  </si>
  <si>
    <t>fj6grand2pm</t>
  </si>
  <si>
    <t>GSJ 16 Lee</t>
  </si>
  <si>
    <t>fj6hurrc1pm</t>
  </si>
  <si>
    <t>Hurricane VBC 16 Tsunami</t>
  </si>
  <si>
    <t>fj6hvelo1pm</t>
  </si>
  <si>
    <t>High Velocity 16's</t>
  </si>
  <si>
    <t>fj6lakem1pm</t>
  </si>
  <si>
    <t>Lake Murray 16 Red</t>
  </si>
  <si>
    <t>fj6magnm1pm</t>
  </si>
  <si>
    <t>Magnum 16 Mizuno</t>
  </si>
  <si>
    <t>fj6magnm2pm</t>
  </si>
  <si>
    <t>Magnum 16 Elite</t>
  </si>
  <si>
    <t>fj6magnm3pm</t>
  </si>
  <si>
    <t>Magnum Aiken 16 Green</t>
  </si>
  <si>
    <t>fj6metro1so</t>
  </si>
  <si>
    <t>METRO-ATL 16 ELITE</t>
  </si>
  <si>
    <t>fj6prage1pm</t>
  </si>
  <si>
    <t>PRV -16U Alicia</t>
  </si>
  <si>
    <t>fj6scmid2pm</t>
  </si>
  <si>
    <t>SC Midlands 16 Pro Elite</t>
  </si>
  <si>
    <t>fj6setpt2cr</t>
  </si>
  <si>
    <t>Set Point 16 Gold</t>
  </si>
  <si>
    <t>fj6soarj1pm</t>
  </si>
  <si>
    <t>Soar Rockets 16U</t>
  </si>
  <si>
    <t>fj6syngy1cr</t>
  </si>
  <si>
    <t>Synergy</t>
  </si>
  <si>
    <t>Club Synergy16U</t>
  </si>
  <si>
    <t>fj6tlife1cr</t>
  </si>
  <si>
    <t>TLVC 16</t>
  </si>
  <si>
    <t>fj6triex2so</t>
  </si>
  <si>
    <t>Extreme 16 Taylor</t>
  </si>
  <si>
    <t>fj6upsvc1pm</t>
  </si>
  <si>
    <t>Upstate 16-1 National</t>
  </si>
  <si>
    <t>fj6upsvc2pm</t>
  </si>
  <si>
    <t>Upstate 16-2 Power</t>
  </si>
  <si>
    <t>fj6upwrd2pm</t>
  </si>
  <si>
    <t>Upward Stars 16 Andrew</t>
  </si>
  <si>
    <t>fj6upwrd3pm</t>
  </si>
  <si>
    <t>Upward Stars 16 Leslie</t>
  </si>
  <si>
    <t>fj6upwrd4pm</t>
  </si>
  <si>
    <t>Upward Stars 16 Brandon</t>
  </si>
  <si>
    <t>fj6vison1pm</t>
  </si>
  <si>
    <t>Vision 16 National</t>
  </si>
  <si>
    <t>fj6ccoas1pm</t>
  </si>
  <si>
    <t>Coastal 16 Elite</t>
  </si>
  <si>
    <t>fj6ladyc1pm</t>
  </si>
  <si>
    <t>OLC 17s Purple</t>
  </si>
  <si>
    <t>fj6csrah2pm</t>
  </si>
  <si>
    <t>CSRA Heat 16 Black</t>
  </si>
  <si>
    <t>fj6pstri1pm</t>
  </si>
  <si>
    <t>Palm Strikers 16 National</t>
  </si>
  <si>
    <t>fj6motoj1pm</t>
  </si>
  <si>
    <t>MOTO 16</t>
  </si>
  <si>
    <t>fj6agema1pm</t>
  </si>
  <si>
    <t>AGEMA</t>
  </si>
  <si>
    <t>Agema16U</t>
  </si>
  <si>
    <t>fj6beauf1pm</t>
  </si>
  <si>
    <t>Beaufort16 Club</t>
  </si>
  <si>
    <t>fj6caris2pm</t>
  </si>
  <si>
    <t>Car.Islanders 16 Power</t>
  </si>
  <si>
    <t>fj6csrah3pm</t>
  </si>
  <si>
    <t>CSRA Heat 16 Red</t>
  </si>
  <si>
    <t>fj6kvctn1so</t>
  </si>
  <si>
    <t>KVC16-1</t>
  </si>
  <si>
    <t>fj6kvctn2so</t>
  </si>
  <si>
    <t>KVC16-2</t>
  </si>
  <si>
    <t>fj6lavaf1cr</t>
  </si>
  <si>
    <t>LAVA 16U Purple</t>
  </si>
  <si>
    <t>fj6lavaf2cr</t>
  </si>
  <si>
    <t>LAVA 16 White</t>
  </si>
  <si>
    <t>fj6mcdow1cr</t>
  </si>
  <si>
    <t>McDowell Volleyball</t>
  </si>
  <si>
    <t>Aftershock</t>
  </si>
  <si>
    <t>fj6netvc1so</t>
  </si>
  <si>
    <t>NETVC 16</t>
  </si>
  <si>
    <t>fj6sandh1cr</t>
  </si>
  <si>
    <t>Sandhills Volleyball Club</t>
  </si>
  <si>
    <t>Lightning 16 Black</t>
  </si>
  <si>
    <t>fj6scmid3pm</t>
  </si>
  <si>
    <t>SC Midlands 16 Black</t>
  </si>
  <si>
    <t>fj6scmid4pm</t>
  </si>
  <si>
    <t>SC Midlands 16 Garnet</t>
  </si>
  <si>
    <t>fj6starl1pm</t>
  </si>
  <si>
    <t>Columbia SC Starlings 16</t>
  </si>
  <si>
    <t>fj6storm2cr</t>
  </si>
  <si>
    <t>Carolina Storm Volleyball</t>
  </si>
  <si>
    <t>Carolina Storm 16 Blue</t>
  </si>
  <si>
    <t>fj6sumtr1pm</t>
  </si>
  <si>
    <t>Sumter VBC 16 Heath</t>
  </si>
  <si>
    <t>fj6sumtr2pm</t>
  </si>
  <si>
    <t>Sumter VBC 16 Gwin</t>
  </si>
  <si>
    <t>fj6triex3so</t>
  </si>
  <si>
    <t>Extreme 16 Devyn</t>
  </si>
  <si>
    <t>fj6triex4so</t>
  </si>
  <si>
    <t>Extreme 16 Emily</t>
  </si>
  <si>
    <t>fj6triex5so</t>
  </si>
  <si>
    <t>Extreme 16 Heather</t>
  </si>
  <si>
    <t>fj6vison2pm</t>
  </si>
  <si>
    <t>Vision 16 Regional</t>
  </si>
  <si>
    <t>fj7apexp1cr</t>
  </si>
  <si>
    <t>Apex Performance Volleyball Club</t>
  </si>
  <si>
    <t>Apex Stars 17</t>
  </si>
  <si>
    <t>fj7biltm1cr</t>
  </si>
  <si>
    <t>BVA 17 National</t>
  </si>
  <si>
    <t>fj7carcr1cr</t>
  </si>
  <si>
    <t>Carolina Crush Volleyball Club</t>
  </si>
  <si>
    <t>Crush 17</t>
  </si>
  <si>
    <t>fj7chavb1cr</t>
  </si>
  <si>
    <t>CHAVC 17 National</t>
  </si>
  <si>
    <t>fj7cltpw1cr</t>
  </si>
  <si>
    <t>Charlotte Powerhouse Volleyball Club</t>
  </si>
  <si>
    <t>Charottle Powerhouse 17</t>
  </si>
  <si>
    <t>fj7crone1pm</t>
  </si>
  <si>
    <t>C1VB 17 Elite Greenville</t>
  </si>
  <si>
    <t>fj7crone2pm</t>
  </si>
  <si>
    <t>C1VB 17 Power Pickens</t>
  </si>
  <si>
    <t>fj7dupln1cr</t>
  </si>
  <si>
    <t>Duplin Volleyball Club</t>
  </si>
  <si>
    <t>Impact</t>
  </si>
  <si>
    <t>fj7grand1pm</t>
  </si>
  <si>
    <t>GSJ 17 National Steve</t>
  </si>
  <si>
    <t>fj7hurrc1pm</t>
  </si>
  <si>
    <t>Hurricane VBC 17 Cyclones</t>
  </si>
  <si>
    <t>fj7kc11j1pm</t>
  </si>
  <si>
    <t>KC11 Volleyball Club</t>
  </si>
  <si>
    <t>KC11 17's</t>
  </si>
  <si>
    <t>fj7kersh1pm</t>
  </si>
  <si>
    <t>Kershaw 17 Black</t>
  </si>
  <si>
    <t>fj7lakem1pm</t>
  </si>
  <si>
    <t>Lake Murray 17 Red</t>
  </si>
  <si>
    <t>fj7lburg1cr</t>
  </si>
  <si>
    <t>Louisburg Bombers17 Black</t>
  </si>
  <si>
    <t>fj7lowco1pm</t>
  </si>
  <si>
    <t>Low Country 17 Open</t>
  </si>
  <si>
    <t>fj7magnm1pm</t>
  </si>
  <si>
    <t>Magnum 17 Mizuno</t>
  </si>
  <si>
    <t>fj7magnm2pm</t>
  </si>
  <si>
    <t>Magnum 17 Black</t>
  </si>
  <si>
    <t>fj7metro1so</t>
  </si>
  <si>
    <t>METRO-ATL 17 ELITE</t>
  </si>
  <si>
    <t>fj7mtnel1pm</t>
  </si>
  <si>
    <t>MEVC17Power</t>
  </si>
  <si>
    <t>fj7pjvbc1od</t>
  </si>
  <si>
    <t>PJVBC 17 Mizuno</t>
  </si>
  <si>
    <t>fj7prage1pm</t>
  </si>
  <si>
    <t>PRV -17U Tony</t>
  </si>
  <si>
    <t>fj7rockh1pm</t>
  </si>
  <si>
    <t>RHVC 17 Power Black</t>
  </si>
  <si>
    <t>fj7rockh2pm</t>
  </si>
  <si>
    <t>RHVC 17 Power Red</t>
  </si>
  <si>
    <t>fj7upsvc1pm</t>
  </si>
  <si>
    <t>Upstate 17-1 National</t>
  </si>
  <si>
    <t>fj7upwrd2pm</t>
  </si>
  <si>
    <t>Upward Stars 17 Melissa</t>
  </si>
  <si>
    <t>fj7inten1pm</t>
  </si>
  <si>
    <t>Intense 17 National Elite</t>
  </si>
  <si>
    <t>fj7scmid1pm</t>
  </si>
  <si>
    <t>SC Midlands 17 Nat Elite</t>
  </si>
  <si>
    <t>fj7inten2pm</t>
  </si>
  <si>
    <t>Intense 17 Pro Elite</t>
  </si>
  <si>
    <t>fj7ccoas1pm</t>
  </si>
  <si>
    <t>Coastal 17 Cyclones</t>
  </si>
  <si>
    <t>fj7csrah1pm</t>
  </si>
  <si>
    <t>CSRA Heat 17 Gold</t>
  </si>
  <si>
    <t>fj7hhbtc1pm</t>
  </si>
  <si>
    <t>HHI SHARKS</t>
  </si>
  <si>
    <t>HHI SHARKS 17</t>
  </si>
  <si>
    <t>fj7kvcjr1pm</t>
  </si>
  <si>
    <t>KVC 17</t>
  </si>
  <si>
    <t>fj7triex1so</t>
  </si>
  <si>
    <t>Extreme 17 Summer</t>
  </si>
  <si>
    <t>fj7mbeac1pm</t>
  </si>
  <si>
    <t>MBVC 17 Red</t>
  </si>
  <si>
    <t>fj7starl1pm</t>
  </si>
  <si>
    <t>Columbia SC Starlings 17</t>
  </si>
  <si>
    <t>fj7vosav1so</t>
  </si>
  <si>
    <t>V-1 Academy SAV 17 Jon</t>
  </si>
  <si>
    <t>fj7aelit1pm</t>
  </si>
  <si>
    <t>Augusta Elite 17U</t>
  </si>
  <si>
    <t>fj7footh7pm</t>
  </si>
  <si>
    <t>Foothills 17</t>
  </si>
  <si>
    <t>fj7biltm2cr</t>
  </si>
  <si>
    <t>BVA 17 Regional</t>
  </si>
  <si>
    <t>fj7kersh2pm</t>
  </si>
  <si>
    <t>Kershaw 17 White</t>
  </si>
  <si>
    <t>fj7kvctn1so</t>
  </si>
  <si>
    <t>KVC17-1</t>
  </si>
  <si>
    <t>fj7magnm3pm</t>
  </si>
  <si>
    <t>Magnum Aiken 17 Yellow</t>
  </si>
  <si>
    <t>fj7magnm4pm</t>
  </si>
  <si>
    <t>Magnum Greenwood 17 Gold</t>
  </si>
  <si>
    <t>fj7netvc1so</t>
  </si>
  <si>
    <t>NETVC 17Tori</t>
  </si>
  <si>
    <t>fj7scmid2pm</t>
  </si>
  <si>
    <t>SC Midlands 17 Black</t>
  </si>
  <si>
    <t>fj7smvbc1cr</t>
  </si>
  <si>
    <t>SMVC Royals 17</t>
  </si>
  <si>
    <t>fj7sumtr1pm</t>
  </si>
  <si>
    <t>Sumter VBC 17</t>
  </si>
  <si>
    <t>fj7unitd1pm</t>
  </si>
  <si>
    <t>united vbc</t>
  </si>
  <si>
    <t>united vbc 17 u</t>
  </si>
  <si>
    <t>fj7vison1pm</t>
  </si>
  <si>
    <t>Vision 17 Regional</t>
  </si>
  <si>
    <t>fj8191641pm</t>
  </si>
  <si>
    <t>Excell U18 Elite</t>
  </si>
  <si>
    <t>fj8atlbm1so</t>
  </si>
  <si>
    <t>ATLBoom 18 DiamondRox</t>
  </si>
  <si>
    <t>fj8atlbm2so</t>
  </si>
  <si>
    <t>ATL Boom 18 Orange</t>
  </si>
  <si>
    <t>fj8charl1pm</t>
  </si>
  <si>
    <t>Chas Jrs 18 Red</t>
  </si>
  <si>
    <t>fj8cltpw1cr</t>
  </si>
  <si>
    <t>Charottle Powerhouse 18</t>
  </si>
  <si>
    <t>fj8crone1pm</t>
  </si>
  <si>
    <t>C1VB 18 National</t>
  </si>
  <si>
    <t>fj8extvb1so</t>
  </si>
  <si>
    <t>Extreme 18-1</t>
  </si>
  <si>
    <t>fj8grand1pm</t>
  </si>
  <si>
    <t>GSJ 18 National Larry</t>
  </si>
  <si>
    <t>fj8hurrc1pm</t>
  </si>
  <si>
    <t>Hurricane VBC 18 Storm</t>
  </si>
  <si>
    <t>fj8hvelo1pm</t>
  </si>
  <si>
    <t>High Velocity 18's</t>
  </si>
  <si>
    <t>fj8lakem1pm</t>
  </si>
  <si>
    <t>Lake Murray 18 Red</t>
  </si>
  <si>
    <t>fj8lynch1od</t>
  </si>
  <si>
    <t>fj8magnm1pm</t>
  </si>
  <si>
    <t>Magnum 18 Mizuno</t>
  </si>
  <si>
    <t>fj8magnm2pm</t>
  </si>
  <si>
    <t>Magnum Aiken 18 Green</t>
  </si>
  <si>
    <t>fj8metro2so</t>
  </si>
  <si>
    <t>METRO-ATL 18-17 POWER</t>
  </si>
  <si>
    <t>fj8pjvbc1od</t>
  </si>
  <si>
    <t>PJVBC 18 Mizuno</t>
  </si>
  <si>
    <t>fj8rchvc1so</t>
  </si>
  <si>
    <t>Rocket City Volleyball Club</t>
  </si>
  <si>
    <t>RCVC 181</t>
  </si>
  <si>
    <t>fj8scmid1pm</t>
  </si>
  <si>
    <t>SC Midlands 18 Nat Elite</t>
  </si>
  <si>
    <t>fj8sctwo1cr</t>
  </si>
  <si>
    <t>(SC)2 18u Black</t>
  </si>
  <si>
    <t>fj8sctwo2cr</t>
  </si>
  <si>
    <t>(SC)2 18u Blue</t>
  </si>
  <si>
    <t>fj8tlife1cr</t>
  </si>
  <si>
    <t>TLVC 18U</t>
  </si>
  <si>
    <t>fj8upsvc1pm</t>
  </si>
  <si>
    <t>Upstate 18-1 Power</t>
  </si>
  <si>
    <t>fj8upwrd2pm</t>
  </si>
  <si>
    <t>Upward Stars 18 Amy</t>
  </si>
  <si>
    <t>fj8upwrd3pm</t>
  </si>
  <si>
    <t>Upward Stars 18 BC</t>
  </si>
  <si>
    <t>fj8upwrd4pm</t>
  </si>
  <si>
    <t>Upward Stars 18 Vickie</t>
  </si>
  <si>
    <t>fj8colva1pm</t>
  </si>
  <si>
    <t>Columbia Volleyball Academy</t>
  </si>
  <si>
    <t>CVA Black</t>
  </si>
  <si>
    <t>fj8footh1pm</t>
  </si>
  <si>
    <t>Foothills 18 Penni</t>
  </si>
  <si>
    <t>fj8ladyc2pm</t>
  </si>
  <si>
    <t>OLC 18's Purple</t>
  </si>
  <si>
    <t>fj8beauf1pm</t>
  </si>
  <si>
    <t>Beaufort 18 Club</t>
  </si>
  <si>
    <t>fj8branc3pm</t>
  </si>
  <si>
    <t>Branchville Juniors 18U</t>
  </si>
  <si>
    <t>fj8lavaf1cr</t>
  </si>
  <si>
    <t>LAVA Flames 18</t>
  </si>
  <si>
    <t>fj8netvc2so</t>
  </si>
  <si>
    <t>NETVC 18D</t>
  </si>
  <si>
    <t>fj8sandh1cr</t>
  </si>
  <si>
    <t>Lightning 18</t>
  </si>
  <si>
    <t>fj8sandh1pm</t>
  </si>
  <si>
    <t>SVBC Blazers 18</t>
  </si>
  <si>
    <t>fj8sumtr1pm</t>
  </si>
  <si>
    <t>Sumter VBC 18</t>
  </si>
  <si>
    <t>fj8swarm1pm</t>
  </si>
  <si>
    <t>Swarm VBC</t>
  </si>
  <si>
    <t>SWARM18U</t>
  </si>
  <si>
    <t>5  refs</t>
  </si>
  <si>
    <t>TOURNAMENT PLAYOFF</t>
  </si>
  <si>
    <t>Playoff Format : All teams Before 4pm 25-25-15 start at 6.  If after 4pm, semi's 1 game to 25, finals 25-25-15 start at 6- no cap.  
Warmups 3-3-2     All one game playoffs and third sets to 15 start at 0</t>
  </si>
  <si>
    <t>Record each teams name and 11 digit code</t>
  </si>
  <si>
    <t>GOLD DIVISION</t>
  </si>
  <si>
    <t>SILVER DIVISION</t>
  </si>
  <si>
    <t>1st Place  Crt 1</t>
  </si>
  <si>
    <t>Loser is 3rd place</t>
  </si>
  <si>
    <t>Loser M2 refs</t>
  </si>
  <si>
    <t>Loser is 2nd place</t>
  </si>
  <si>
    <t xml:space="preserve"> Gold Champ 1st place</t>
  </si>
  <si>
    <t>Loser is 6th place</t>
  </si>
  <si>
    <t xml:space="preserve"> Silver Champ 5th place</t>
  </si>
  <si>
    <t>1st Place Crt 2</t>
  </si>
  <si>
    <t>Winner M1 refs</t>
  </si>
  <si>
    <t>Loser is 7th place</t>
  </si>
  <si>
    <t>GOLD DIVISION PLAYOFFS</t>
  </si>
  <si>
    <t>SILVER DIVISION PLAYOFFS</t>
  </si>
  <si>
    <t>TEAM</t>
  </si>
  <si>
    <t>Enter Playoff Team Names</t>
  </si>
  <si>
    <t>Enter Playoff Team Codes</t>
  </si>
  <si>
    <t>BYE</t>
  </si>
  <si>
    <t>Semi Final</t>
  </si>
  <si>
    <t>Make sure to complete
"Playoff Finish"
on Pool Sheet</t>
  </si>
  <si>
    <t>Offic. Team</t>
  </si>
  <si>
    <t>Win M1</t>
  </si>
  <si>
    <t>Loser M2</t>
  </si>
  <si>
    <t>Match 2</t>
  </si>
  <si>
    <t>Match 3</t>
  </si>
  <si>
    <t>Winner</t>
  </si>
  <si>
    <t>Game 3</t>
  </si>
  <si>
    <t>M1</t>
  </si>
  <si>
    <t>M2</t>
  </si>
  <si>
    <t>M3</t>
  </si>
  <si>
    <t>If match is a BYE enter B for opponent</t>
  </si>
  <si>
    <t>Version : 4.2</t>
  </si>
  <si>
    <t>Version : 5</t>
  </si>
  <si>
    <t xml:space="preserve"> POOL PLAY FORMAT:  Best of 3 (25-25-15) 2 Pt cap.    Warmups 3-3-2.  Start at 0</t>
  </si>
  <si>
    <t>20 Minute Break</t>
  </si>
  <si>
    <t>First Place</t>
  </si>
  <si>
    <t>Second Place</t>
  </si>
  <si>
    <t>Third Place</t>
  </si>
  <si>
    <t>Fourth Place</t>
  </si>
  <si>
    <t>#1</t>
  </si>
  <si>
    <t>#2</t>
  </si>
  <si>
    <t>#3</t>
  </si>
  <si>
    <t xml:space="preserve">                                   Use pool Net Point % to determine Cross Pool placement. (i.e. #1 2nd place, #3 3rd place etc)</t>
  </si>
  <si>
    <t>#2 2nd Place</t>
  </si>
  <si>
    <t>#1 2nd Place</t>
  </si>
  <si>
    <t>#2 3rd Place</t>
  </si>
  <si>
    <t>#3 2nd Place</t>
  </si>
  <si>
    <t>1st Place Court 3</t>
  </si>
  <si>
    <t>#1 3rd Place</t>
  </si>
  <si>
    <t>BRONZE DIVISION</t>
  </si>
  <si>
    <t>#3 3rd Place</t>
  </si>
  <si>
    <t>Loser is 10th place</t>
  </si>
  <si>
    <t xml:space="preserve"> Bronze Champ 9th place</t>
  </si>
  <si>
    <t>4th Place Court 1</t>
  </si>
  <si>
    <t>Loser is 11th place</t>
  </si>
  <si>
    <t>4th Place Court 2</t>
  </si>
  <si>
    <t>BRONZE DIVISION PLAYOFFS</t>
  </si>
  <si>
    <t>AM 9 Team Pool - Rnd 3</t>
  </si>
  <si>
    <t>AM 9 Team Pool - Rnd 2</t>
  </si>
  <si>
    <t>AM 9 Team Pool - Rnd 1</t>
  </si>
  <si>
    <t>11TmPM Rd 2</t>
  </si>
  <si>
    <t>11TmPM Rd 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</si>
</sst>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164" formatCode="0.0%"/>
    <numFmt numFmtId="165" formatCode="0.##"/>
  </numFmts>
  <fonts count="47">
    <font>
      <sz val="10"/>
      <name val="Arial"/>
    </font>
    <font>
      <sz val="11"/>
      <color theme="1"/>
      <name val="Calibri"/>
      <family val="2"/>
      <scheme val="minor"/>
    </font>
    <font>
      <sz val="10"/>
      <name val="Arial"/>
      <family val="2"/>
    </font>
    <font>
      <sz val="10"/>
      <name val="Arial"/>
      <family val="2"/>
    </font>
    <font>
      <b/>
      <sz val="10"/>
      <name val="Arial"/>
      <family val="2"/>
    </font>
    <font>
      <b/>
      <sz val="14"/>
      <name val="Arial"/>
      <family val="2"/>
    </font>
    <font>
      <b/>
      <sz val="12"/>
      <name val="Arial"/>
      <family val="2"/>
    </font>
    <font>
      <sz val="14"/>
      <name val="Arial"/>
      <family val="2"/>
    </font>
    <font>
      <sz val="12"/>
      <name val="Arial"/>
      <family val="2"/>
    </font>
    <font>
      <b/>
      <sz val="8"/>
      <name val="Arial"/>
      <family val="2"/>
    </font>
    <font>
      <sz val="10"/>
      <color indexed="9"/>
      <name val="Arial"/>
      <family val="2"/>
    </font>
    <font>
      <sz val="8"/>
      <name val="Arial"/>
      <family val="2"/>
    </font>
    <font>
      <sz val="18"/>
      <name val="Arial"/>
      <family val="2"/>
    </font>
    <font>
      <sz val="10"/>
      <color indexed="55"/>
      <name val="Arial"/>
      <family val="2"/>
    </font>
    <font>
      <sz val="16"/>
      <name val="Arial"/>
      <family val="2"/>
    </font>
    <font>
      <sz val="6"/>
      <name val="Arial"/>
      <family val="2"/>
    </font>
    <font>
      <sz val="20"/>
      <name val="Amazone BT"/>
      <family val="4"/>
    </font>
    <font>
      <sz val="22"/>
      <name val="Kids"/>
      <family val="2"/>
    </font>
    <font>
      <b/>
      <sz val="16"/>
      <name val="Times New Roman"/>
      <family val="1"/>
    </font>
    <font>
      <sz val="16"/>
      <name val="Times New Roman"/>
      <family val="1"/>
    </font>
    <font>
      <sz val="12"/>
      <name val="Times New Roman"/>
      <family val="1"/>
    </font>
    <font>
      <sz val="20"/>
      <name val="Algerian"/>
      <family val="5"/>
    </font>
    <font>
      <b/>
      <sz val="9"/>
      <name val="Arial"/>
      <family val="2"/>
    </font>
    <font>
      <sz val="11"/>
      <name val="Arial"/>
      <family val="2"/>
    </font>
    <font>
      <sz val="7"/>
      <name val="Calibri"/>
      <family val="2"/>
    </font>
    <font>
      <sz val="5"/>
      <name val="Arial"/>
      <family val="2"/>
    </font>
    <font>
      <sz val="7"/>
      <name val="Arial"/>
      <family val="2"/>
    </font>
    <font>
      <sz val="11"/>
      <color theme="1"/>
      <name val="Calibri"/>
      <family val="2"/>
      <scheme val="minor"/>
    </font>
    <font>
      <b/>
      <sz val="16"/>
      <color rgb="FFFF0000"/>
      <name val="Times New Roman"/>
      <family val="1"/>
    </font>
    <font>
      <b/>
      <sz val="11"/>
      <color theme="1"/>
      <name val="Arial"/>
      <family val="2"/>
    </font>
    <font>
      <b/>
      <sz val="14"/>
      <color rgb="FFFF0000"/>
      <name val="Times New Roman"/>
      <family val="1"/>
    </font>
    <font>
      <b/>
      <sz val="11"/>
      <color rgb="FFFF0000"/>
      <name val="Calibri"/>
      <family val="2"/>
    </font>
    <font>
      <b/>
      <sz val="14"/>
      <color rgb="FF000000"/>
      <name val="Times New Roman"/>
      <family val="1"/>
    </font>
    <font>
      <b/>
      <sz val="11"/>
      <color rgb="FF000000"/>
      <name val="Times New Roman"/>
      <family val="1"/>
    </font>
    <font>
      <sz val="12"/>
      <color rgb="FF000000"/>
      <name val="Times New Roman"/>
      <family val="1"/>
    </font>
    <font>
      <b/>
      <sz val="14"/>
      <color rgb="FFFF6600"/>
      <name val="Times New Roman"/>
      <family val="1"/>
    </font>
    <font>
      <sz val="11"/>
      <color rgb="FF000000"/>
      <name val="Calibri"/>
      <family val="2"/>
    </font>
    <font>
      <b/>
      <sz val="20"/>
      <color rgb="FFFF0000"/>
      <name val="Times New Roman"/>
      <family val="1"/>
    </font>
    <font>
      <sz val="10"/>
      <color rgb="FF333333"/>
      <name val="Georgia"/>
      <family val="1"/>
    </font>
    <font>
      <sz val="11"/>
      <color rgb="FF000000"/>
      <name val="Times New Roman"/>
      <family val="1"/>
    </font>
    <font>
      <sz val="14"/>
      <color rgb="FF000000"/>
      <name val="Times New Roman"/>
      <family val="1"/>
    </font>
    <font>
      <sz val="11"/>
      <color rgb="FFFF0000"/>
      <name val="Calibri"/>
      <family val="2"/>
    </font>
    <font>
      <b/>
      <sz val="12"/>
      <color rgb="FF000000"/>
      <name val="Times New Roman"/>
      <family val="1"/>
    </font>
    <font>
      <sz val="10"/>
      <color theme="0"/>
      <name val="Arial"/>
      <family val="2"/>
    </font>
    <font>
      <sz val="20"/>
      <name val="Arial"/>
      <family val="2"/>
    </font>
    <font>
      <u/>
      <sz val="10"/>
      <color indexed="12"/>
      <name val="Arial"/>
      <family val="2"/>
    </font>
    <font>
      <u/>
      <sz val="10"/>
      <color theme="10"/>
      <name val="Arial"/>
      <family val="2"/>
    </font>
  </fonts>
  <fills count="24">
    <fill>
      <patternFill patternType="none"/>
    </fill>
    <fill>
      <patternFill patternType="gray125"/>
    </fill>
    <fill>
      <patternFill patternType="solid">
        <fgColor indexed="55"/>
        <bgColor indexed="64"/>
      </patternFill>
    </fill>
    <fill>
      <patternFill patternType="solid">
        <fgColor indexed="51"/>
        <bgColor indexed="64"/>
      </patternFill>
    </fill>
    <fill>
      <patternFill patternType="solid">
        <fgColor indexed="23"/>
        <bgColor indexed="64"/>
      </patternFill>
    </fill>
    <fill>
      <patternFill patternType="solid">
        <fgColor indexed="13"/>
        <bgColor indexed="64"/>
      </patternFill>
    </fill>
    <fill>
      <patternFill patternType="solid">
        <fgColor indexed="10"/>
        <bgColor indexed="64"/>
      </patternFill>
    </fill>
    <fill>
      <patternFill patternType="solid">
        <fgColor indexed="8"/>
        <bgColor indexed="64"/>
      </patternFill>
    </fill>
    <fill>
      <patternFill patternType="solid">
        <fgColor indexed="41"/>
        <bgColor indexed="64"/>
      </patternFill>
    </fill>
    <fill>
      <patternFill patternType="solid">
        <fgColor indexed="11"/>
        <bgColor indexed="64"/>
      </patternFill>
    </fill>
    <fill>
      <patternFill patternType="solid">
        <fgColor indexed="45"/>
        <bgColor indexed="64"/>
      </patternFill>
    </fill>
    <fill>
      <patternFill patternType="solid">
        <fgColor indexed="43"/>
        <bgColor indexed="64"/>
      </patternFill>
    </fill>
    <fill>
      <patternFill patternType="solid">
        <fgColor indexed="15"/>
        <bgColor indexed="64"/>
      </patternFill>
    </fill>
    <fill>
      <patternFill patternType="solid">
        <fgColor indexed="52"/>
        <bgColor indexed="64"/>
      </patternFill>
    </fill>
    <fill>
      <patternFill patternType="solid">
        <fgColor theme="0" tint="-0.249977111117893"/>
        <bgColor indexed="64"/>
      </patternFill>
    </fill>
    <fill>
      <patternFill patternType="solid">
        <fgColor rgb="FFFFFF00"/>
        <bgColor indexed="64"/>
      </patternFill>
    </fill>
    <fill>
      <patternFill patternType="solid">
        <fgColor rgb="FFFF0000"/>
        <bgColor indexed="64"/>
      </patternFill>
    </fill>
    <fill>
      <patternFill patternType="solid">
        <fgColor rgb="FF000000"/>
        <bgColor indexed="64"/>
      </patternFill>
    </fill>
    <fill>
      <patternFill patternType="solid">
        <fgColor theme="1"/>
        <bgColor indexed="64"/>
      </patternFill>
    </fill>
    <fill>
      <patternFill patternType="solid">
        <fgColor rgb="FF66FF33"/>
        <bgColor indexed="64"/>
      </patternFill>
    </fill>
    <fill>
      <patternFill patternType="solid">
        <fgColor rgb="FF00B0F0"/>
        <bgColor indexed="64"/>
      </patternFill>
    </fill>
    <fill>
      <patternFill patternType="solid">
        <fgColor theme="0" tint="-4.9989318521683403E-2"/>
        <bgColor indexed="64"/>
      </patternFill>
    </fill>
    <fill>
      <patternFill patternType="solid">
        <fgColor theme="0"/>
        <bgColor indexed="64"/>
      </patternFill>
    </fill>
    <fill>
      <patternFill patternType="solid">
        <fgColor indexed="14"/>
        <bgColor indexed="64"/>
      </patternFill>
    </fill>
  </fills>
  <borders count="7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double">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medium">
        <color rgb="FFAAAAAA"/>
      </left>
      <right style="medium">
        <color rgb="FFAAAAAA"/>
      </right>
      <top style="medium">
        <color rgb="FFAAAAAA"/>
      </top>
      <bottom style="medium">
        <color rgb="FFAAAAAA"/>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right style="medium">
        <color rgb="FFAAAAAA"/>
      </right>
      <top/>
      <bottom/>
      <diagonal/>
    </border>
    <border>
      <left style="medium">
        <color rgb="FFAAAAAA"/>
      </left>
      <right style="medium">
        <color rgb="FFAAAAAA"/>
      </right>
      <top/>
      <bottom/>
      <diagonal/>
    </border>
    <border>
      <left style="medium">
        <color rgb="FF000000"/>
      </left>
      <right style="medium">
        <color rgb="FFCCCCCC"/>
      </right>
      <top style="medium">
        <color rgb="FFCCCCCC"/>
      </top>
      <bottom/>
      <diagonal/>
    </border>
    <border>
      <left style="medium">
        <color rgb="FF000000"/>
      </left>
      <right style="medium">
        <color rgb="FFCCCCCC"/>
      </right>
      <top/>
      <bottom/>
      <diagonal/>
    </border>
    <border>
      <left style="medium">
        <color rgb="FF000000"/>
      </left>
      <right style="medium">
        <color rgb="FFCCCCCC"/>
      </right>
      <top/>
      <bottom style="medium">
        <color rgb="FFCCCCCC"/>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12">
    <xf numFmtId="0" fontId="0" fillId="0" borderId="0"/>
    <xf numFmtId="0" fontId="3" fillId="0" borderId="0"/>
    <xf numFmtId="0" fontId="3" fillId="0" borderId="0"/>
    <xf numFmtId="0" fontId="2" fillId="0" borderId="0"/>
    <xf numFmtId="0" fontId="1" fillId="0" borderId="0"/>
    <xf numFmtId="0" fontId="2" fillId="0" borderId="0"/>
    <xf numFmtId="44" fontId="2" fillId="0" borderId="0" applyFont="0" applyFill="0" applyBorder="0" applyAlignment="0" applyProtection="0"/>
    <xf numFmtId="0" fontId="45" fillId="0" borderId="0" applyNumberFormat="0" applyFill="0" applyBorder="0" applyAlignment="0" applyProtection="0">
      <alignment vertical="top"/>
      <protection locked="0"/>
    </xf>
    <xf numFmtId="0" fontId="46" fillId="0" borderId="0" applyNumberFormat="0" applyFill="0" applyBorder="0" applyAlignment="0" applyProtection="0"/>
    <xf numFmtId="0" fontId="2" fillId="0" borderId="0"/>
    <xf numFmtId="0" fontId="1" fillId="0" borderId="0"/>
    <xf numFmtId="0" fontId="2" fillId="0" borderId="0"/>
  </cellStyleXfs>
  <cellXfs count="822">
    <xf numFmtId="0" fontId="0" fillId="0" borderId="0" xfId="0"/>
    <xf numFmtId="0" fontId="2" fillId="14" borderId="0" xfId="3" applyFill="1"/>
    <xf numFmtId="0" fontId="16" fillId="0" borderId="0" xfId="3" applyFont="1" applyAlignment="1">
      <alignment horizontal="center"/>
    </xf>
    <xf numFmtId="0" fontId="2" fillId="0" borderId="0" xfId="3"/>
    <xf numFmtId="0" fontId="17" fillId="0" borderId="0" xfId="3" applyFont="1" applyAlignment="1">
      <alignment horizontal="center"/>
    </xf>
    <xf numFmtId="0" fontId="7" fillId="0" borderId="0" xfId="3" applyFont="1"/>
    <xf numFmtId="0" fontId="7" fillId="0" borderId="1" xfId="3" applyFont="1" applyBorder="1" applyAlignment="1">
      <alignment wrapText="1"/>
    </xf>
    <xf numFmtId="0" fontId="5" fillId="3" borderId="1" xfId="3" applyFont="1" applyFill="1" applyBorder="1" applyAlignment="1">
      <alignment wrapText="1"/>
    </xf>
    <xf numFmtId="0" fontId="14" fillId="0" borderId="1" xfId="3" applyFont="1" applyBorder="1" applyAlignment="1">
      <alignment wrapText="1"/>
    </xf>
    <xf numFmtId="0" fontId="14" fillId="0" borderId="0" xfId="3" applyFont="1"/>
    <xf numFmtId="0" fontId="2" fillId="4" borderId="0" xfId="3" applyFill="1"/>
    <xf numFmtId="0" fontId="28" fillId="0" borderId="1" xfId="3" applyFont="1" applyBorder="1" applyAlignment="1">
      <alignment horizontal="center" wrapText="1"/>
    </xf>
    <xf numFmtId="0" fontId="18" fillId="0" borderId="1" xfId="3" applyFont="1" applyBorder="1" applyAlignment="1">
      <alignment horizontal="center" wrapText="1"/>
    </xf>
    <xf numFmtId="0" fontId="19" fillId="0" borderId="1" xfId="3" applyFont="1" applyBorder="1" applyAlignment="1">
      <alignment horizontal="center" wrapText="1"/>
    </xf>
    <xf numFmtId="0" fontId="18" fillId="0" borderId="1" xfId="3" applyFont="1" applyBorder="1" applyAlignment="1">
      <alignment horizontal="left" wrapText="1"/>
    </xf>
    <xf numFmtId="0" fontId="18" fillId="15" borderId="1" xfId="3" applyFont="1" applyFill="1" applyBorder="1" applyAlignment="1">
      <alignment wrapText="1"/>
    </xf>
    <xf numFmtId="0" fontId="18" fillId="0" borderId="1" xfId="3" applyFont="1" applyBorder="1" applyAlignment="1">
      <alignment wrapText="1"/>
    </xf>
    <xf numFmtId="0" fontId="19" fillId="0" borderId="1" xfId="3" applyFont="1" applyBorder="1" applyAlignment="1">
      <alignment wrapText="1"/>
    </xf>
    <xf numFmtId="0" fontId="20" fillId="0" borderId="1" xfId="3" applyFont="1" applyBorder="1" applyAlignment="1">
      <alignment wrapText="1"/>
    </xf>
    <xf numFmtId="0" fontId="21" fillId="0" borderId="0" xfId="3" applyFont="1"/>
    <xf numFmtId="0" fontId="6" fillId="0" borderId="0" xfId="3" applyFont="1" applyAlignment="1">
      <alignment horizontal="left"/>
    </xf>
    <xf numFmtId="0" fontId="2" fillId="0" borderId="0" xfId="3" applyAlignment="1">
      <alignment horizontal="right" wrapText="1"/>
    </xf>
    <xf numFmtId="0" fontId="2" fillId="0" borderId="2" xfId="3" applyBorder="1"/>
    <xf numFmtId="0" fontId="2" fillId="0" borderId="3" xfId="3" applyBorder="1"/>
    <xf numFmtId="0" fontId="2" fillId="0" borderId="4" xfId="3" applyBorder="1"/>
    <xf numFmtId="0" fontId="4" fillId="0" borderId="2" xfId="3" applyFont="1" applyBorder="1"/>
    <xf numFmtId="0" fontId="11" fillId="0" borderId="0" xfId="3" applyFont="1" applyAlignment="1">
      <alignment vertical="top"/>
    </xf>
    <xf numFmtId="0" fontId="2" fillId="0" borderId="3" xfId="3" applyFill="1" applyBorder="1"/>
    <xf numFmtId="0" fontId="4" fillId="0" borderId="5" xfId="3" applyFont="1" applyBorder="1"/>
    <xf numFmtId="0" fontId="2" fillId="0" borderId="6" xfId="3" applyBorder="1"/>
    <xf numFmtId="0" fontId="4" fillId="0" borderId="0" xfId="3" applyFont="1" applyBorder="1"/>
    <xf numFmtId="0" fontId="2" fillId="0" borderId="0" xfId="3" applyBorder="1"/>
    <xf numFmtId="0" fontId="4" fillId="0" borderId="3" xfId="3" applyFont="1" applyBorder="1"/>
    <xf numFmtId="0" fontId="4" fillId="0" borderId="0" xfId="3" applyFont="1" applyFill="1" applyBorder="1"/>
    <xf numFmtId="0" fontId="4" fillId="0" borderId="0" xfId="3" applyFont="1"/>
    <xf numFmtId="0" fontId="4" fillId="0" borderId="0" xfId="3" applyFont="1" applyFill="1" applyBorder="1" applyAlignment="1">
      <alignment wrapText="1"/>
    </xf>
    <xf numFmtId="0" fontId="2" fillId="0" borderId="2" xfId="3" applyBorder="1" applyAlignment="1">
      <alignment horizontal="center" vertical="top"/>
    </xf>
    <xf numFmtId="0" fontId="2" fillId="0" borderId="3" xfId="3" applyBorder="1" applyAlignment="1">
      <alignment horizontal="center" vertical="top"/>
    </xf>
    <xf numFmtId="0" fontId="2" fillId="0" borderId="4" xfId="3" applyBorder="1" applyAlignment="1">
      <alignment horizontal="center" vertical="top"/>
    </xf>
    <xf numFmtId="0" fontId="2" fillId="0" borderId="0" xfId="3" applyAlignment="1">
      <alignment horizontal="center"/>
    </xf>
    <xf numFmtId="0" fontId="2" fillId="0" borderId="1" xfId="3" applyBorder="1"/>
    <xf numFmtId="0" fontId="2" fillId="0" borderId="7" xfId="3" applyBorder="1"/>
    <xf numFmtId="0" fontId="2" fillId="0" borderId="8" xfId="3" applyBorder="1"/>
    <xf numFmtId="0" fontId="2" fillId="0" borderId="9" xfId="3" applyFill="1" applyBorder="1"/>
    <xf numFmtId="0" fontId="2" fillId="0" borderId="10" xfId="3" applyFill="1" applyBorder="1"/>
    <xf numFmtId="0" fontId="2" fillId="0" borderId="11" xfId="3" applyFill="1" applyBorder="1"/>
    <xf numFmtId="0" fontId="2" fillId="0" borderId="0" xfId="3" applyFill="1"/>
    <xf numFmtId="0" fontId="2" fillId="0" borderId="9" xfId="3" applyFill="1" applyBorder="1" applyAlignment="1"/>
    <xf numFmtId="0" fontId="2" fillId="0" borderId="10" xfId="3" applyBorder="1" applyAlignment="1"/>
    <xf numFmtId="0" fontId="2" fillId="0" borderId="11" xfId="3" applyBorder="1" applyAlignment="1"/>
    <xf numFmtId="0" fontId="2" fillId="0" borderId="12" xfId="3" applyBorder="1" applyAlignment="1"/>
    <xf numFmtId="0" fontId="2" fillId="0" borderId="0" xfId="3" applyBorder="1" applyAlignment="1"/>
    <xf numFmtId="0" fontId="2" fillId="0" borderId="13" xfId="3" applyBorder="1" applyAlignment="1"/>
    <xf numFmtId="0" fontId="2" fillId="0" borderId="14" xfId="3" applyBorder="1" applyAlignment="1"/>
    <xf numFmtId="0" fontId="2" fillId="0" borderId="15" xfId="3" applyBorder="1" applyAlignment="1"/>
    <xf numFmtId="0" fontId="2" fillId="0" borderId="16" xfId="3" applyBorder="1" applyAlignment="1"/>
    <xf numFmtId="0" fontId="4" fillId="4" borderId="0" xfId="3" applyFont="1" applyFill="1"/>
    <xf numFmtId="0" fontId="2" fillId="0" borderId="58" xfId="0" applyFont="1" applyBorder="1" applyAlignment="1">
      <alignment vertical="top"/>
    </xf>
    <xf numFmtId="0" fontId="29" fillId="0" borderId="0" xfId="0" applyFont="1" applyAlignment="1">
      <alignment wrapText="1"/>
    </xf>
    <xf numFmtId="0" fontId="2" fillId="0" borderId="0" xfId="0" applyFont="1"/>
    <xf numFmtId="0" fontId="23" fillId="0" borderId="0" xfId="0" applyFont="1"/>
    <xf numFmtId="0" fontId="7" fillId="15" borderId="0" xfId="3" applyFont="1" applyFill="1" applyAlignment="1">
      <alignment horizontal="center"/>
    </xf>
    <xf numFmtId="0" fontId="0" fillId="16" borderId="0" xfId="0" applyFill="1"/>
    <xf numFmtId="0" fontId="24" fillId="17" borderId="59" xfId="0" applyFont="1" applyFill="1" applyBorder="1" applyAlignment="1">
      <alignment wrapText="1"/>
    </xf>
    <xf numFmtId="0" fontId="30" fillId="15" borderId="60" xfId="0" applyFont="1" applyFill="1" applyBorder="1" applyAlignment="1">
      <alignment horizontal="center" wrapText="1"/>
    </xf>
    <xf numFmtId="0" fontId="24" fillId="0" borderId="61" xfId="0" applyFont="1" applyBorder="1" applyAlignment="1">
      <alignment wrapText="1"/>
    </xf>
    <xf numFmtId="0" fontId="31" fillId="0" borderId="60" xfId="0" applyFont="1" applyBorder="1" applyAlignment="1">
      <alignment horizontal="center" wrapText="1"/>
    </xf>
    <xf numFmtId="0" fontId="32" fillId="0" borderId="60" xfId="0" applyFont="1" applyBorder="1" applyAlignment="1">
      <alignment horizontal="left" vertical="center" wrapText="1"/>
    </xf>
    <xf numFmtId="0" fontId="24" fillId="0" borderId="60" xfId="0" applyFont="1" applyBorder="1" applyAlignment="1">
      <alignment wrapText="1"/>
    </xf>
    <xf numFmtId="0" fontId="33" fillId="0" borderId="60" xfId="0" applyFont="1" applyBorder="1" applyAlignment="1">
      <alignment horizontal="left" vertical="center" wrapText="1"/>
    </xf>
    <xf numFmtId="0" fontId="34" fillId="0" borderId="60" xfId="0" applyFont="1" applyBorder="1" applyAlignment="1">
      <alignment horizontal="left" vertical="center" wrapText="1"/>
    </xf>
    <xf numFmtId="0" fontId="35" fillId="0" borderId="60" xfId="0" applyFont="1" applyBorder="1" applyAlignment="1">
      <alignment horizontal="left" vertical="center" wrapText="1"/>
    </xf>
    <xf numFmtId="0" fontId="24" fillId="17" borderId="61" xfId="0" applyFont="1" applyFill="1" applyBorder="1" applyAlignment="1">
      <alignment wrapText="1"/>
    </xf>
    <xf numFmtId="0" fontId="24" fillId="17" borderId="60" xfId="0" applyFont="1" applyFill="1" applyBorder="1" applyAlignment="1">
      <alignment wrapText="1"/>
    </xf>
    <xf numFmtId="0" fontId="36" fillId="0" borderId="60" xfId="0" applyFont="1" applyBorder="1" applyAlignment="1">
      <alignment horizontal="center" wrapText="1"/>
    </xf>
    <xf numFmtId="0" fontId="36" fillId="0" borderId="61" xfId="0" applyFont="1" applyBorder="1"/>
    <xf numFmtId="0" fontId="37" fillId="0" borderId="60" xfId="0" applyFont="1" applyBorder="1" applyAlignment="1">
      <alignment horizontal="center" vertical="center"/>
    </xf>
    <xf numFmtId="0" fontId="38" fillId="0" borderId="60" xfId="0" applyFont="1" applyBorder="1" applyAlignment="1">
      <alignment horizontal="center" vertical="center"/>
    </xf>
    <xf numFmtId="0" fontId="24" fillId="0" borderId="62" xfId="0" applyFont="1" applyBorder="1" applyAlignment="1">
      <alignment wrapText="1"/>
    </xf>
    <xf numFmtId="0" fontId="34" fillId="0" borderId="62" xfId="0" applyFont="1" applyBorder="1" applyAlignment="1">
      <alignment horizontal="center" vertical="center"/>
    </xf>
    <xf numFmtId="0" fontId="39" fillId="15" borderId="60" xfId="0" applyFont="1" applyFill="1" applyBorder="1" applyAlignment="1">
      <alignment horizontal="left" wrapText="1"/>
    </xf>
    <xf numFmtId="0" fontId="39" fillId="15" borderId="62" xfId="0" applyFont="1" applyFill="1" applyBorder="1" applyAlignment="1">
      <alignment horizontal="left" wrapText="1"/>
    </xf>
    <xf numFmtId="0" fontId="24" fillId="0" borderId="59" xfId="0" applyFont="1" applyBorder="1" applyAlignment="1">
      <alignment wrapText="1"/>
    </xf>
    <xf numFmtId="0" fontId="40" fillId="0" borderId="62" xfId="0" applyFont="1" applyBorder="1" applyAlignment="1">
      <alignment horizontal="center" vertical="center"/>
    </xf>
    <xf numFmtId="0" fontId="41" fillId="0" borderId="60" xfId="0" applyFont="1" applyBorder="1" applyAlignment="1">
      <alignment horizontal="center" wrapText="1"/>
    </xf>
    <xf numFmtId="0" fontId="39" fillId="0" borderId="61" xfId="0" applyFont="1" applyBorder="1" applyAlignment="1">
      <alignment vertical="center" wrapText="1"/>
    </xf>
    <xf numFmtId="0" fontId="42" fillId="15" borderId="60" xfId="0" applyFont="1" applyFill="1" applyBorder="1" applyAlignment="1">
      <alignment vertical="center" wrapText="1"/>
    </xf>
    <xf numFmtId="0" fontId="36" fillId="0" borderId="61" xfId="0" applyFont="1" applyBorder="1" applyAlignment="1">
      <alignment horizontal="left" vertical="center"/>
    </xf>
    <xf numFmtId="0" fontId="36" fillId="0" borderId="61" xfId="0" applyFont="1" applyBorder="1" applyAlignment="1">
      <alignment wrapText="1"/>
    </xf>
    <xf numFmtId="0" fontId="39" fillId="0" borderId="60" xfId="0" applyFont="1" applyBorder="1" applyAlignment="1">
      <alignment horizontal="left" vertical="center" wrapText="1"/>
    </xf>
    <xf numFmtId="0" fontId="39" fillId="0" borderId="60" xfId="0" applyFont="1" applyBorder="1" applyAlignment="1">
      <alignment vertical="center" wrapText="1"/>
    </xf>
    <xf numFmtId="0" fontId="2" fillId="0" borderId="0" xfId="0" applyFont="1" applyFill="1" applyBorder="1"/>
    <xf numFmtId="0" fontId="2" fillId="2" borderId="0" xfId="3" applyFill="1" applyProtection="1"/>
    <xf numFmtId="0" fontId="2" fillId="2" borderId="0" xfId="3" applyFill="1" applyAlignment="1" applyProtection="1">
      <alignment horizontal="center"/>
    </xf>
    <xf numFmtId="0" fontId="2" fillId="0" borderId="17" xfId="3" applyFont="1" applyBorder="1" applyAlignment="1" applyProtection="1">
      <alignment horizontal="center"/>
      <protection locked="0"/>
    </xf>
    <xf numFmtId="0" fontId="2" fillId="0" borderId="2" xfId="3" applyBorder="1" applyAlignment="1" applyProtection="1">
      <alignment horizontal="center"/>
      <protection locked="0"/>
    </xf>
    <xf numFmtId="0" fontId="4" fillId="0" borderId="18" xfId="3" applyFont="1" applyBorder="1" applyAlignment="1" applyProtection="1">
      <alignment horizontal="center" vertical="center"/>
    </xf>
    <xf numFmtId="0" fontId="4" fillId="5" borderId="18" xfId="3" applyFont="1" applyFill="1" applyBorder="1" applyAlignment="1">
      <alignment horizontal="center" vertical="center"/>
    </xf>
    <xf numFmtId="0" fontId="4" fillId="5" borderId="18" xfId="3" applyFont="1" applyFill="1" applyBorder="1" applyAlignment="1">
      <alignment horizontal="center" vertical="center" wrapText="1"/>
    </xf>
    <xf numFmtId="0" fontId="2" fillId="2" borderId="0" xfId="3" applyFill="1" applyBorder="1" applyAlignment="1"/>
    <xf numFmtId="0" fontId="10" fillId="2" borderId="0" xfId="3" applyFont="1" applyFill="1" applyAlignment="1" applyProtection="1">
      <alignment horizontal="center"/>
      <protection locked="0"/>
    </xf>
    <xf numFmtId="0" fontId="10" fillId="2" borderId="0" xfId="3" applyFont="1" applyFill="1" applyBorder="1" applyAlignment="1"/>
    <xf numFmtId="0" fontId="10" fillId="0" borderId="0" xfId="3" applyFont="1" applyFill="1" applyBorder="1" applyAlignment="1"/>
    <xf numFmtId="0" fontId="2" fillId="2" borderId="0" xfId="3" applyFill="1" applyAlignment="1"/>
    <xf numFmtId="0" fontId="2" fillId="0" borderId="0" xfId="3" applyFont="1" applyBorder="1" applyAlignment="1" applyProtection="1">
      <alignment horizontal="center"/>
      <protection locked="0"/>
    </xf>
    <xf numFmtId="0" fontId="2" fillId="0" borderId="0" xfId="3" applyBorder="1" applyAlignment="1" applyProtection="1">
      <alignment horizontal="center"/>
      <protection locked="0"/>
    </xf>
    <xf numFmtId="0" fontId="2" fillId="2" borderId="0" xfId="3" applyFill="1" applyBorder="1" applyAlignment="1">
      <alignment horizontal="center" vertical="center"/>
    </xf>
    <xf numFmtId="0" fontId="11" fillId="0" borderId="0" xfId="3" applyFont="1" applyAlignment="1">
      <alignment horizontal="right"/>
    </xf>
    <xf numFmtId="0" fontId="2" fillId="8" borderId="1" xfId="3" applyFill="1" applyBorder="1" applyAlignment="1">
      <alignment horizontal="center"/>
    </xf>
    <xf numFmtId="0" fontId="6" fillId="5" borderId="1" xfId="3" applyFont="1" applyFill="1" applyBorder="1" applyProtection="1">
      <protection locked="0"/>
    </xf>
    <xf numFmtId="0" fontId="6" fillId="2" borderId="1" xfId="3" applyFont="1" applyFill="1" applyBorder="1" applyAlignment="1">
      <alignment horizontal="center"/>
    </xf>
    <xf numFmtId="0" fontId="6" fillId="5" borderId="1" xfId="3" applyFont="1" applyFill="1" applyBorder="1" applyAlignment="1" applyProtection="1">
      <alignment horizontal="left"/>
      <protection locked="0"/>
    </xf>
    <xf numFmtId="0" fontId="8" fillId="0" borderId="5" xfId="3" applyFont="1" applyFill="1" applyBorder="1" applyProtection="1">
      <protection locked="0"/>
    </xf>
    <xf numFmtId="0" fontId="2" fillId="2" borderId="6" xfId="3" applyFill="1" applyBorder="1" applyAlignment="1">
      <alignment horizontal="center"/>
    </xf>
    <xf numFmtId="0" fontId="8" fillId="0" borderId="19" xfId="3" applyFont="1" applyFill="1" applyBorder="1" applyAlignment="1" applyProtection="1">
      <alignment horizontal="left"/>
      <protection locked="0"/>
    </xf>
    <xf numFmtId="0" fontId="2" fillId="0" borderId="0" xfId="3" applyFill="1" applyProtection="1">
      <protection hidden="1"/>
    </xf>
    <xf numFmtId="0" fontId="13" fillId="2" borderId="0" xfId="3" applyFont="1" applyFill="1"/>
    <xf numFmtId="0" fontId="2" fillId="0" borderId="0" xfId="3" applyProtection="1">
      <protection hidden="1"/>
    </xf>
    <xf numFmtId="0" fontId="2" fillId="0" borderId="0" xfId="3" applyAlignment="1" applyProtection="1">
      <alignment horizontal="left"/>
    </xf>
    <xf numFmtId="0" fontId="2" fillId="0" borderId="0" xfId="3" applyAlignment="1" applyProtection="1">
      <alignment horizontal="center"/>
      <protection locked="0"/>
    </xf>
    <xf numFmtId="0" fontId="11" fillId="0" borderId="0" xfId="3" applyFont="1" applyBorder="1" applyAlignment="1" applyProtection="1">
      <protection locked="0"/>
    </xf>
    <xf numFmtId="0" fontId="2" fillId="0" borderId="63" xfId="0" applyFont="1" applyFill="1" applyBorder="1" applyAlignment="1">
      <alignment vertical="top"/>
    </xf>
    <xf numFmtId="0" fontId="2" fillId="0" borderId="0" xfId="0" applyFont="1" applyFill="1" applyBorder="1" applyAlignment="1">
      <alignment vertical="top"/>
    </xf>
    <xf numFmtId="0" fontId="2" fillId="0" borderId="64" xfId="0" applyFont="1" applyBorder="1" applyAlignment="1">
      <alignment vertical="top"/>
    </xf>
    <xf numFmtId="0" fontId="2" fillId="0" borderId="63" xfId="0" applyFont="1" applyBorder="1" applyAlignment="1">
      <alignment vertical="top"/>
    </xf>
    <xf numFmtId="14" fontId="0" fillId="0" borderId="0" xfId="0" applyNumberFormat="1"/>
    <xf numFmtId="0" fontId="2" fillId="0" borderId="0" xfId="0" applyFont="1" applyAlignment="1">
      <alignment wrapText="1"/>
    </xf>
    <xf numFmtId="0" fontId="2" fillId="15" borderId="0" xfId="0" applyFont="1" applyFill="1"/>
    <xf numFmtId="0" fontId="0" fillId="15" borderId="0" xfId="0" applyFill="1"/>
    <xf numFmtId="0" fontId="4" fillId="15" borderId="0" xfId="0" applyFont="1" applyFill="1"/>
    <xf numFmtId="0" fontId="2" fillId="2" borderId="0" xfId="3" applyFont="1" applyFill="1" applyAlignment="1" applyProtection="1">
      <alignment horizontal="center"/>
    </xf>
    <xf numFmtId="0" fontId="2" fillId="0" borderId="0" xfId="3" applyAlignment="1">
      <alignment horizontal="right"/>
    </xf>
    <xf numFmtId="0" fontId="2" fillId="0" borderId="0" xfId="3" applyProtection="1">
      <protection locked="0"/>
    </xf>
    <xf numFmtId="0" fontId="5" fillId="5" borderId="2" xfId="3" applyFont="1" applyFill="1" applyBorder="1" applyAlignment="1"/>
    <xf numFmtId="0" fontId="5" fillId="5" borderId="3" xfId="3" applyFont="1" applyFill="1" applyBorder="1" applyAlignment="1"/>
    <xf numFmtId="0" fontId="2" fillId="5" borderId="3" xfId="3" applyFill="1" applyBorder="1" applyAlignment="1"/>
    <xf numFmtId="0" fontId="2" fillId="5" borderId="2" xfId="3" applyFill="1" applyBorder="1" applyAlignment="1"/>
    <xf numFmtId="0" fontId="2" fillId="5" borderId="4" xfId="3" applyFill="1" applyBorder="1" applyAlignment="1"/>
    <xf numFmtId="0" fontId="2" fillId="0" borderId="20" xfId="3" applyFont="1" applyBorder="1" applyAlignment="1" applyProtection="1">
      <alignment horizontal="center"/>
      <protection locked="0"/>
    </xf>
    <xf numFmtId="0" fontId="4" fillId="0" borderId="21" xfId="3" applyFont="1" applyBorder="1" applyAlignment="1" applyProtection="1">
      <alignment horizontal="center"/>
      <protection locked="0"/>
    </xf>
    <xf numFmtId="0" fontId="4" fillId="0" borderId="22" xfId="3" applyFont="1" applyBorder="1" applyAlignment="1" applyProtection="1">
      <alignment horizontal="center"/>
      <protection locked="0"/>
    </xf>
    <xf numFmtId="0" fontId="2" fillId="0" borderId="25" xfId="3" applyFont="1" applyBorder="1" applyAlignment="1" applyProtection="1">
      <alignment horizontal="center"/>
      <protection locked="0"/>
    </xf>
    <xf numFmtId="0" fontId="2" fillId="0" borderId="26" xfId="3" applyBorder="1" applyAlignment="1" applyProtection="1">
      <alignment horizontal="center"/>
      <protection locked="0"/>
    </xf>
    <xf numFmtId="0" fontId="2" fillId="0" borderId="27" xfId="3" applyBorder="1" applyAlignment="1" applyProtection="1">
      <alignment horizontal="center"/>
      <protection locked="0"/>
    </xf>
    <xf numFmtId="0" fontId="4" fillId="2" borderId="10" xfId="3" applyFont="1" applyFill="1" applyBorder="1" applyAlignment="1">
      <alignment vertical="center"/>
    </xf>
    <xf numFmtId="0" fontId="6" fillId="2" borderId="10" xfId="3" applyFont="1" applyFill="1" applyBorder="1" applyAlignment="1">
      <alignment horizontal="center" vertical="center"/>
    </xf>
    <xf numFmtId="0" fontId="4" fillId="2" borderId="0" xfId="3" applyFont="1" applyFill="1" applyBorder="1" applyAlignment="1">
      <alignment vertical="center"/>
    </xf>
    <xf numFmtId="0" fontId="2" fillId="2" borderId="0" xfId="3" applyFill="1" applyAlignment="1">
      <alignment vertical="center"/>
    </xf>
    <xf numFmtId="0" fontId="2" fillId="0" borderId="1" xfId="3" applyBorder="1" applyAlignment="1" applyProtection="1">
      <alignment horizontal="center"/>
      <protection locked="0"/>
    </xf>
    <xf numFmtId="0" fontId="2" fillId="0" borderId="5" xfId="3" applyBorder="1" applyAlignment="1" applyProtection="1">
      <alignment horizontal="center"/>
      <protection locked="0"/>
    </xf>
    <xf numFmtId="0" fontId="8" fillId="0" borderId="18" xfId="3" applyFont="1" applyBorder="1" applyAlignment="1" applyProtection="1">
      <alignment horizontal="center" vertical="center"/>
      <protection locked="0"/>
    </xf>
    <xf numFmtId="0" fontId="6" fillId="5" borderId="18" xfId="3" applyFont="1" applyFill="1" applyBorder="1" applyAlignment="1">
      <alignment horizontal="center" vertical="center"/>
    </xf>
    <xf numFmtId="0" fontId="10" fillId="2" borderId="0" xfId="3" applyFont="1" applyFill="1"/>
    <xf numFmtId="0" fontId="6" fillId="2" borderId="0" xfId="3" applyFont="1" applyFill="1" applyBorder="1" applyAlignment="1" applyProtection="1">
      <alignment vertical="center" wrapText="1"/>
      <protection locked="0"/>
    </xf>
    <xf numFmtId="0" fontId="4" fillId="2" borderId="0" xfId="3" applyFont="1" applyFill="1" applyBorder="1" applyAlignment="1" applyProtection="1">
      <alignment vertical="center" wrapText="1"/>
      <protection locked="0"/>
    </xf>
    <xf numFmtId="0" fontId="2" fillId="7" borderId="32" xfId="3" applyFont="1" applyFill="1" applyBorder="1" applyAlignment="1" applyProtection="1">
      <alignment horizontal="center"/>
      <protection locked="0"/>
    </xf>
    <xf numFmtId="0" fontId="2" fillId="7" borderId="8" xfId="3" applyFill="1" applyBorder="1" applyAlignment="1" applyProtection="1">
      <alignment horizontal="center"/>
      <protection locked="0"/>
    </xf>
    <xf numFmtId="0" fontId="2" fillId="7" borderId="33" xfId="3" applyFill="1" applyBorder="1" applyAlignment="1" applyProtection="1">
      <alignment horizontal="center"/>
      <protection locked="0"/>
    </xf>
    <xf numFmtId="2" fontId="2" fillId="7" borderId="32" xfId="3" applyNumberFormat="1" applyFill="1" applyBorder="1" applyAlignment="1">
      <alignment horizontal="center"/>
    </xf>
    <xf numFmtId="2" fontId="2" fillId="7" borderId="33" xfId="3" applyNumberFormat="1" applyFill="1" applyBorder="1" applyAlignment="1">
      <alignment horizontal="center"/>
    </xf>
    <xf numFmtId="0" fontId="2" fillId="5" borderId="19" xfId="3" applyFill="1" applyBorder="1" applyAlignment="1">
      <alignment horizontal="center" vertical="center"/>
    </xf>
    <xf numFmtId="0" fontId="2" fillId="5" borderId="1" xfId="3" applyFill="1" applyBorder="1" applyAlignment="1">
      <alignment horizontal="center" vertical="center"/>
    </xf>
    <xf numFmtId="0" fontId="2" fillId="0" borderId="1" xfId="3" applyBorder="1" applyAlignment="1">
      <alignment horizontal="center" vertical="center"/>
    </xf>
    <xf numFmtId="0" fontId="2" fillId="0" borderId="19" xfId="3" applyBorder="1" applyAlignment="1">
      <alignment horizontal="center" vertical="center"/>
    </xf>
    <xf numFmtId="0" fontId="2" fillId="8" borderId="0" xfId="3" applyFill="1" applyProtection="1">
      <protection hidden="1"/>
    </xf>
    <xf numFmtId="0" fontId="2" fillId="8" borderId="0" xfId="3" applyFill="1" applyAlignment="1" applyProtection="1">
      <alignment horizontal="left"/>
      <protection hidden="1"/>
    </xf>
    <xf numFmtId="0" fontId="2" fillId="0" borderId="0" xfId="3" applyFill="1" applyAlignment="1" applyProtection="1">
      <alignment horizontal="center"/>
      <protection hidden="1"/>
    </xf>
    <xf numFmtId="0" fontId="2" fillId="0" borderId="0" xfId="3" applyFill="1" applyAlignment="1" applyProtection="1">
      <alignment wrapText="1"/>
      <protection hidden="1"/>
    </xf>
    <xf numFmtId="0" fontId="2" fillId="0" borderId="0" xfId="3" applyFill="1" applyAlignment="1" applyProtection="1">
      <alignment horizontal="left"/>
      <protection hidden="1"/>
    </xf>
    <xf numFmtId="0" fontId="4" fillId="0" borderId="0" xfId="3" applyFont="1" applyProtection="1">
      <protection hidden="1"/>
    </xf>
    <xf numFmtId="0" fontId="2" fillId="0" borderId="0" xfId="3" applyAlignment="1" applyProtection="1">
      <alignment horizontal="center"/>
      <protection hidden="1"/>
    </xf>
    <xf numFmtId="0" fontId="25" fillId="0" borderId="0" xfId="3" applyFont="1"/>
    <xf numFmtId="2" fontId="25" fillId="0" borderId="0" xfId="3" applyNumberFormat="1" applyFont="1"/>
    <xf numFmtId="2" fontId="2" fillId="0" borderId="0" xfId="3" applyNumberFormat="1"/>
    <xf numFmtId="2" fontId="2" fillId="0" borderId="0" xfId="3" applyNumberFormat="1" applyAlignment="1" applyProtection="1">
      <alignment horizontal="left"/>
    </xf>
    <xf numFmtId="2" fontId="2" fillId="0" borderId="0" xfId="3" applyNumberFormat="1" applyAlignment="1" applyProtection="1">
      <alignment horizontal="center"/>
      <protection locked="0"/>
    </xf>
    <xf numFmtId="2" fontId="2" fillId="0" borderId="0" xfId="3" applyNumberFormat="1" applyProtection="1">
      <protection hidden="1"/>
    </xf>
    <xf numFmtId="2" fontId="2" fillId="0" borderId="0" xfId="3" applyNumberFormat="1" applyAlignment="1" applyProtection="1">
      <alignment horizontal="center"/>
      <protection hidden="1"/>
    </xf>
    <xf numFmtId="1" fontId="25" fillId="0" borderId="0" xfId="3" applyNumberFormat="1" applyFont="1"/>
    <xf numFmtId="1" fontId="2" fillId="0" borderId="0" xfId="3" applyNumberFormat="1"/>
    <xf numFmtId="1" fontId="2" fillId="0" borderId="0" xfId="3" applyNumberFormat="1" applyAlignment="1" applyProtection="1">
      <alignment horizontal="left"/>
    </xf>
    <xf numFmtId="1" fontId="2" fillId="0" borderId="0" xfId="3" applyNumberFormat="1" applyAlignment="1" applyProtection="1">
      <alignment horizontal="center"/>
      <protection locked="0"/>
    </xf>
    <xf numFmtId="1" fontId="2" fillId="0" borderId="0" xfId="3" applyNumberFormat="1" applyProtection="1">
      <protection hidden="1"/>
    </xf>
    <xf numFmtId="1" fontId="2" fillId="0" borderId="0" xfId="3" applyNumberFormat="1" applyAlignment="1" applyProtection="1">
      <alignment horizontal="center"/>
      <protection hidden="1"/>
    </xf>
    <xf numFmtId="0" fontId="11" fillId="5" borderId="21" xfId="3" applyFont="1" applyFill="1" applyBorder="1" applyAlignment="1">
      <alignment horizontal="center"/>
    </xf>
    <xf numFmtId="0" fontId="2" fillId="5" borderId="22" xfId="3" applyFill="1" applyBorder="1" applyAlignment="1">
      <alignment horizontal="center"/>
    </xf>
    <xf numFmtId="0" fontId="2" fillId="5" borderId="23" xfId="3" applyFill="1" applyBorder="1" applyAlignment="1">
      <alignment horizontal="center"/>
    </xf>
    <xf numFmtId="0" fontId="2" fillId="18" borderId="23" xfId="3" applyFill="1" applyBorder="1" applyAlignment="1">
      <alignment horizontal="center"/>
    </xf>
    <xf numFmtId="0" fontId="2" fillId="0" borderId="12" xfId="3" applyBorder="1" applyProtection="1">
      <protection locked="0"/>
    </xf>
    <xf numFmtId="0" fontId="26" fillId="19" borderId="27" xfId="3" applyFont="1" applyFill="1" applyBorder="1" applyAlignment="1">
      <alignment horizontal="center"/>
    </xf>
    <xf numFmtId="0" fontId="26" fillId="20" borderId="28" xfId="3" applyFont="1" applyFill="1" applyBorder="1" applyAlignment="1">
      <alignment horizontal="center"/>
    </xf>
    <xf numFmtId="0" fontId="26" fillId="15" borderId="34" xfId="3" applyFont="1" applyFill="1" applyBorder="1" applyAlignment="1">
      <alignment horizontal="center"/>
    </xf>
    <xf numFmtId="0" fontId="26" fillId="15" borderId="28" xfId="3" applyFont="1" applyFill="1" applyBorder="1" applyAlignment="1">
      <alignment horizontal="center"/>
    </xf>
    <xf numFmtId="0" fontId="26" fillId="18" borderId="28" xfId="3" applyFont="1" applyFill="1" applyBorder="1" applyAlignment="1">
      <alignment horizontal="center"/>
    </xf>
    <xf numFmtId="0" fontId="26" fillId="15" borderId="5" xfId="3" applyFont="1" applyFill="1" applyBorder="1" applyAlignment="1">
      <alignment horizontal="center"/>
    </xf>
    <xf numFmtId="0" fontId="26" fillId="19" borderId="31" xfId="3" applyFont="1" applyFill="1" applyBorder="1" applyAlignment="1">
      <alignment horizontal="center"/>
    </xf>
    <xf numFmtId="0" fontId="26" fillId="20" borderId="1" xfId="3" applyFont="1" applyFill="1" applyBorder="1" applyAlignment="1">
      <alignment horizontal="center"/>
    </xf>
    <xf numFmtId="0" fontId="26" fillId="20" borderId="31" xfId="3" applyFont="1" applyFill="1" applyBorder="1" applyAlignment="1">
      <alignment horizontal="center"/>
    </xf>
    <xf numFmtId="0" fontId="26" fillId="18" borderId="31" xfId="3" applyFont="1" applyFill="1" applyBorder="1" applyAlignment="1">
      <alignment horizontal="center"/>
    </xf>
    <xf numFmtId="0" fontId="2" fillId="0" borderId="14" xfId="3" applyBorder="1" applyProtection="1">
      <protection locked="0"/>
    </xf>
    <xf numFmtId="0" fontId="26" fillId="20" borderId="35" xfId="3" applyFont="1" applyFill="1" applyBorder="1" applyAlignment="1">
      <alignment horizontal="center"/>
    </xf>
    <xf numFmtId="0" fontId="26" fillId="15" borderId="36" xfId="3" applyFont="1" applyFill="1" applyBorder="1" applyAlignment="1">
      <alignment horizontal="center"/>
    </xf>
    <xf numFmtId="0" fontId="26" fillId="19" borderId="37" xfId="3" applyFont="1" applyFill="1" applyBorder="1" applyAlignment="1">
      <alignment horizontal="center"/>
    </xf>
    <xf numFmtId="0" fontId="26" fillId="19" borderId="36" xfId="3" applyFont="1" applyFill="1" applyBorder="1" applyAlignment="1">
      <alignment horizontal="center"/>
    </xf>
    <xf numFmtId="0" fontId="26" fillId="18" borderId="36" xfId="3" applyFont="1" applyFill="1" applyBorder="1" applyAlignment="1">
      <alignment horizontal="center"/>
    </xf>
    <xf numFmtId="0" fontId="15" fillId="0" borderId="0" xfId="3" applyFont="1" applyFill="1" applyBorder="1" applyAlignment="1">
      <alignment horizontal="center"/>
    </xf>
    <xf numFmtId="0" fontId="2" fillId="0" borderId="0" xfId="3" applyFill="1" applyAlignment="1">
      <alignment horizontal="center"/>
    </xf>
    <xf numFmtId="0" fontId="26" fillId="20" borderId="34" xfId="3" applyFont="1" applyFill="1" applyBorder="1" applyAlignment="1">
      <alignment horizontal="center"/>
    </xf>
    <xf numFmtId="0" fontId="26" fillId="19" borderId="5" xfId="3" applyFont="1" applyFill="1" applyBorder="1" applyAlignment="1">
      <alignment horizontal="center"/>
    </xf>
    <xf numFmtId="0" fontId="26" fillId="15" borderId="31" xfId="3" applyFont="1" applyFill="1" applyBorder="1" applyAlignment="1">
      <alignment horizontal="center"/>
    </xf>
    <xf numFmtId="0" fontId="26" fillId="19" borderId="35" xfId="3" applyFont="1" applyFill="1" applyBorder="1" applyAlignment="1">
      <alignment horizontal="center"/>
    </xf>
    <xf numFmtId="0" fontId="26" fillId="20" borderId="37" xfId="3" applyFont="1" applyFill="1" applyBorder="1" applyAlignment="1">
      <alignment horizontal="center"/>
    </xf>
    <xf numFmtId="0" fontId="26" fillId="20" borderId="36" xfId="3" applyFont="1" applyFill="1" applyBorder="1" applyAlignment="1">
      <alignment horizontal="center"/>
    </xf>
    <xf numFmtId="0" fontId="2" fillId="15" borderId="58" xfId="0" applyFont="1" applyFill="1" applyBorder="1" applyAlignment="1">
      <alignment vertical="top"/>
    </xf>
    <xf numFmtId="0" fontId="4" fillId="15" borderId="0" xfId="0" applyFont="1" applyFill="1" applyAlignment="1">
      <alignment wrapText="1"/>
    </xf>
    <xf numFmtId="0" fontId="5" fillId="15" borderId="0" xfId="0" applyFont="1" applyFill="1"/>
    <xf numFmtId="0" fontId="42" fillId="15" borderId="60" xfId="0" applyFont="1" applyFill="1" applyBorder="1" applyAlignment="1">
      <alignment vertical="top" wrapText="1"/>
    </xf>
    <xf numFmtId="0" fontId="7" fillId="0" borderId="0" xfId="3" applyFont="1" applyAlignment="1">
      <alignment horizontal="center"/>
    </xf>
    <xf numFmtId="0" fontId="11" fillId="5" borderId="21" xfId="3" applyFont="1" applyFill="1" applyBorder="1" applyAlignment="1">
      <alignment horizontal="center"/>
    </xf>
    <xf numFmtId="0" fontId="2" fillId="0" borderId="0" xfId="3" applyAlignment="1" applyProtection="1">
      <alignment horizontal="left"/>
    </xf>
    <xf numFmtId="0" fontId="2" fillId="0" borderId="0" xfId="3" applyAlignment="1" applyProtection="1">
      <alignment horizontal="center"/>
      <protection locked="0"/>
    </xf>
    <xf numFmtId="0" fontId="8" fillId="2" borderId="0" xfId="3" applyFont="1" applyFill="1" applyBorder="1" applyAlignment="1" applyProtection="1">
      <alignment horizontal="left"/>
    </xf>
    <xf numFmtId="0" fontId="2" fillId="2" borderId="0" xfId="3" applyFill="1" applyAlignment="1" applyProtection="1">
      <alignment horizontal="center"/>
    </xf>
    <xf numFmtId="0" fontId="11" fillId="0" borderId="39" xfId="3" applyFont="1" applyBorder="1" applyAlignment="1">
      <alignment horizontal="left" vertical="top"/>
    </xf>
    <xf numFmtId="0" fontId="11" fillId="0" borderId="40" xfId="3" applyFont="1" applyBorder="1" applyAlignment="1">
      <alignment horizontal="left" vertical="top"/>
    </xf>
    <xf numFmtId="0" fontId="11" fillId="0" borderId="41" xfId="3" applyFont="1" applyBorder="1" applyAlignment="1">
      <alignment horizontal="left" vertical="top"/>
    </xf>
    <xf numFmtId="0" fontId="22" fillId="0" borderId="2" xfId="3" applyFont="1" applyBorder="1" applyAlignment="1">
      <alignment wrapText="1"/>
    </xf>
    <xf numFmtId="0" fontId="22" fillId="0" borderId="3" xfId="3" applyFont="1" applyBorder="1" applyAlignment="1">
      <alignment wrapText="1"/>
    </xf>
    <xf numFmtId="0" fontId="22" fillId="0" borderId="4" xfId="3" applyFont="1" applyBorder="1" applyAlignment="1">
      <alignment wrapText="1"/>
    </xf>
    <xf numFmtId="0" fontId="5" fillId="0" borderId="9" xfId="3" applyFont="1" applyBorder="1" applyAlignment="1">
      <alignment horizontal="center" wrapText="1"/>
    </xf>
    <xf numFmtId="0" fontId="5" fillId="0" borderId="11" xfId="3" applyFont="1" applyBorder="1" applyAlignment="1">
      <alignment horizontal="center" wrapText="1"/>
    </xf>
    <xf numFmtId="0" fontId="5" fillId="0" borderId="12" xfId="3" applyFont="1" applyBorder="1" applyAlignment="1">
      <alignment horizontal="center" wrapText="1"/>
    </xf>
    <xf numFmtId="0" fontId="5" fillId="0" borderId="13" xfId="3" applyFont="1" applyBorder="1" applyAlignment="1">
      <alignment horizontal="center" wrapText="1"/>
    </xf>
    <xf numFmtId="0" fontId="5" fillId="0" borderId="14" xfId="3" applyFont="1" applyBorder="1" applyAlignment="1">
      <alignment horizontal="center" wrapText="1"/>
    </xf>
    <xf numFmtId="0" fontId="5" fillId="0" borderId="16" xfId="3" applyFont="1" applyBorder="1" applyAlignment="1">
      <alignment horizontal="center" wrapText="1"/>
    </xf>
    <xf numFmtId="0" fontId="2" fillId="0" borderId="2" xfId="3" applyBorder="1" applyAlignment="1">
      <alignment horizontal="center" vertical="top"/>
    </xf>
    <xf numFmtId="0" fontId="2" fillId="0" borderId="3" xfId="3" applyBorder="1" applyAlignment="1">
      <alignment horizontal="center" vertical="top"/>
    </xf>
    <xf numFmtId="0" fontId="2" fillId="0" borderId="4" xfId="3" applyBorder="1" applyAlignment="1">
      <alignment horizontal="center" vertical="top"/>
    </xf>
    <xf numFmtId="0" fontId="2" fillId="0" borderId="9" xfId="3" applyBorder="1" applyAlignment="1">
      <alignment vertical="top" wrapText="1"/>
    </xf>
    <xf numFmtId="0" fontId="2" fillId="0" borderId="11" xfId="3" applyBorder="1" applyAlignment="1">
      <alignment vertical="top" wrapText="1"/>
    </xf>
    <xf numFmtId="0" fontId="2" fillId="0" borderId="12" xfId="3" applyBorder="1" applyAlignment="1">
      <alignment vertical="top" wrapText="1"/>
    </xf>
    <xf numFmtId="0" fontId="2" fillId="0" borderId="13" xfId="3" applyBorder="1" applyAlignment="1">
      <alignment vertical="top" wrapText="1"/>
    </xf>
    <xf numFmtId="0" fontId="2" fillId="0" borderId="14" xfId="3" applyBorder="1" applyAlignment="1">
      <alignment vertical="top" wrapText="1"/>
    </xf>
    <xf numFmtId="0" fontId="2" fillId="0" borderId="16" xfId="3" applyBorder="1" applyAlignment="1">
      <alignment vertical="top" wrapText="1"/>
    </xf>
    <xf numFmtId="0" fontId="27" fillId="0" borderId="0" xfId="3" applyFont="1" applyBorder="1" applyAlignment="1">
      <alignment horizontal="center" vertical="top"/>
    </xf>
    <xf numFmtId="0" fontId="2" fillId="0" borderId="0" xfId="3" applyBorder="1" applyAlignment="1">
      <alignment horizontal="center" vertical="top"/>
    </xf>
    <xf numFmtId="0" fontId="24" fillId="17" borderId="65" xfId="0" applyFont="1" applyFill="1" applyBorder="1" applyAlignment="1">
      <alignment wrapText="1"/>
    </xf>
    <xf numFmtId="0" fontId="24" fillId="17" borderId="66" xfId="0" applyFont="1" applyFill="1" applyBorder="1" applyAlignment="1">
      <alignment wrapText="1"/>
    </xf>
    <xf numFmtId="0" fontId="24" fillId="17" borderId="67" xfId="0" applyFont="1" applyFill="1" applyBorder="1" applyAlignment="1">
      <alignment wrapText="1"/>
    </xf>
    <xf numFmtId="0" fontId="6" fillId="0" borderId="2" xfId="3" applyFont="1" applyBorder="1" applyAlignment="1" applyProtection="1">
      <alignment horizontal="center" vertical="center"/>
      <protection locked="0"/>
    </xf>
    <xf numFmtId="0" fontId="6" fillId="0" borderId="3" xfId="3" applyFont="1" applyBorder="1" applyAlignment="1" applyProtection="1">
      <alignment horizontal="center" vertical="center"/>
      <protection locked="0"/>
    </xf>
    <xf numFmtId="0" fontId="6" fillId="0" borderId="4" xfId="3" applyFont="1" applyBorder="1" applyAlignment="1" applyProtection="1">
      <alignment horizontal="center" vertical="center"/>
      <protection locked="0"/>
    </xf>
    <xf numFmtId="0" fontId="7" fillId="5" borderId="2" xfId="3" applyFont="1" applyFill="1" applyBorder="1" applyAlignment="1">
      <alignment horizontal="left"/>
    </xf>
    <xf numFmtId="0" fontId="7" fillId="5" borderId="3" xfId="3" applyFont="1" applyFill="1" applyBorder="1" applyAlignment="1">
      <alignment horizontal="left"/>
    </xf>
    <xf numFmtId="0" fontId="7" fillId="5" borderId="4" xfId="3" applyFont="1" applyFill="1" applyBorder="1" applyAlignment="1">
      <alignment horizontal="left"/>
    </xf>
    <xf numFmtId="14" fontId="6" fillId="0" borderId="2" xfId="3" applyNumberFormat="1" applyFont="1" applyBorder="1" applyAlignment="1" applyProtection="1">
      <alignment horizontal="center" vertical="center" wrapText="1"/>
      <protection locked="0"/>
    </xf>
    <xf numFmtId="0" fontId="6" fillId="0" borderId="3" xfId="3" applyFont="1" applyBorder="1" applyAlignment="1" applyProtection="1">
      <alignment horizontal="center" vertical="center" wrapText="1"/>
      <protection locked="0"/>
    </xf>
    <xf numFmtId="0" fontId="6" fillId="0" borderId="4" xfId="3" applyFont="1" applyBorder="1" applyAlignment="1" applyProtection="1">
      <alignment horizontal="center" vertical="center" wrapText="1"/>
      <protection locked="0"/>
    </xf>
    <xf numFmtId="0" fontId="2" fillId="0" borderId="3" xfId="3" applyBorder="1" applyAlignment="1" applyProtection="1">
      <alignment horizontal="center" vertical="center" wrapText="1"/>
      <protection locked="0"/>
    </xf>
    <xf numFmtId="0" fontId="2" fillId="0" borderId="4" xfId="3" applyBorder="1" applyAlignment="1" applyProtection="1">
      <alignment horizontal="center" vertical="center" wrapText="1"/>
      <protection locked="0"/>
    </xf>
    <xf numFmtId="0" fontId="7" fillId="5" borderId="2" xfId="3" applyFont="1" applyFill="1" applyBorder="1" applyAlignment="1">
      <alignment horizontal="left" wrapText="1"/>
    </xf>
    <xf numFmtId="0" fontId="7" fillId="5" borderId="3" xfId="3" applyFont="1" applyFill="1" applyBorder="1" applyAlignment="1">
      <alignment horizontal="left" wrapText="1"/>
    </xf>
    <xf numFmtId="0" fontId="7" fillId="5" borderId="4" xfId="3" applyFont="1" applyFill="1" applyBorder="1" applyAlignment="1">
      <alignment horizontal="left" wrapText="1"/>
    </xf>
    <xf numFmtId="0" fontId="2" fillId="16" borderId="3" xfId="3" applyFill="1" applyBorder="1" applyAlignment="1" applyProtection="1">
      <alignment horizontal="center" vertical="center" wrapText="1"/>
      <protection locked="0"/>
    </xf>
    <xf numFmtId="0" fontId="2" fillId="2" borderId="0" xfId="3" applyFill="1" applyAlignment="1" applyProtection="1">
      <alignment horizontal="center"/>
    </xf>
    <xf numFmtId="0" fontId="7" fillId="5" borderId="2" xfId="3" applyFont="1" applyFill="1" applyBorder="1" applyAlignment="1">
      <alignment horizontal="center" wrapText="1"/>
    </xf>
    <xf numFmtId="0" fontId="2" fillId="0" borderId="4" xfId="3" applyFont="1" applyBorder="1" applyAlignment="1">
      <alignment horizontal="center" wrapText="1"/>
    </xf>
    <xf numFmtId="0" fontId="8" fillId="0" borderId="2" xfId="3" applyFont="1" applyFill="1" applyBorder="1" applyAlignment="1" applyProtection="1">
      <alignment horizontal="center" vertical="center" wrapText="1"/>
      <protection locked="0"/>
    </xf>
    <xf numFmtId="0" fontId="8" fillId="0" borderId="3" xfId="3" applyFont="1" applyFill="1" applyBorder="1" applyAlignment="1" applyProtection="1">
      <alignment horizontal="center" vertical="center" wrapText="1"/>
      <protection locked="0"/>
    </xf>
    <xf numFmtId="0" fontId="8" fillId="0" borderId="4" xfId="3" applyFont="1" applyFill="1" applyBorder="1" applyAlignment="1" applyProtection="1">
      <alignment horizontal="center" vertical="center" wrapText="1"/>
      <protection locked="0"/>
    </xf>
    <xf numFmtId="0" fontId="7" fillId="5" borderId="2" xfId="3" applyFont="1" applyFill="1" applyBorder="1" applyAlignment="1">
      <alignment horizontal="center" vertical="center" wrapText="1"/>
    </xf>
    <xf numFmtId="0" fontId="7" fillId="5" borderId="3" xfId="3" applyFont="1" applyFill="1" applyBorder="1" applyAlignment="1">
      <alignment horizontal="center" vertical="center" wrapText="1"/>
    </xf>
    <xf numFmtId="0" fontId="2" fillId="0" borderId="3" xfId="3" applyFont="1" applyBorder="1" applyAlignment="1">
      <alignment horizontal="center" vertical="center" wrapText="1"/>
    </xf>
    <xf numFmtId="0" fontId="2" fillId="0" borderId="4" xfId="3" applyFont="1" applyBorder="1" applyAlignment="1">
      <alignment horizontal="center" vertical="center" wrapText="1"/>
    </xf>
    <xf numFmtId="0" fontId="4" fillId="0" borderId="2" xfId="3" applyFont="1" applyBorder="1" applyAlignment="1">
      <alignment horizontal="center" vertical="center"/>
    </xf>
    <xf numFmtId="0" fontId="4" fillId="0" borderId="3" xfId="3" applyFont="1" applyBorder="1" applyAlignment="1">
      <alignment horizontal="center" vertical="center"/>
    </xf>
    <xf numFmtId="0" fontId="4" fillId="0" borderId="4" xfId="3" applyFont="1" applyBorder="1" applyAlignment="1">
      <alignment horizontal="center" vertical="center"/>
    </xf>
    <xf numFmtId="0" fontId="8" fillId="0" borderId="2" xfId="3" applyFont="1" applyBorder="1" applyAlignment="1" applyProtection="1">
      <alignment horizontal="center" vertical="center"/>
      <protection locked="0"/>
    </xf>
    <xf numFmtId="0" fontId="8" fillId="0" borderId="4" xfId="3" applyFont="1" applyBorder="1" applyAlignment="1" applyProtection="1">
      <alignment horizontal="center" vertical="center"/>
      <protection locked="0"/>
    </xf>
    <xf numFmtId="0" fontId="6" fillId="9" borderId="2" xfId="3" applyFont="1" applyFill="1" applyBorder="1" applyAlignment="1">
      <alignment horizontal="center" vertical="center" shrinkToFit="1"/>
    </xf>
    <xf numFmtId="0" fontId="6" fillId="9" borderId="3" xfId="3" applyFont="1" applyFill="1" applyBorder="1" applyAlignment="1">
      <alignment horizontal="center" vertical="center" shrinkToFit="1"/>
    </xf>
    <xf numFmtId="0" fontId="6" fillId="9" borderId="4" xfId="3" applyFont="1" applyFill="1" applyBorder="1" applyAlignment="1">
      <alignment horizontal="center" vertical="center" shrinkToFit="1"/>
    </xf>
    <xf numFmtId="0" fontId="4" fillId="5" borderId="2" xfId="3" applyFont="1" applyFill="1" applyBorder="1" applyAlignment="1">
      <alignment horizontal="center" vertical="center"/>
    </xf>
    <xf numFmtId="0" fontId="2" fillId="5" borderId="3" xfId="3" applyFill="1" applyBorder="1" applyAlignment="1">
      <alignment horizontal="center" vertical="center"/>
    </xf>
    <xf numFmtId="0" fontId="2" fillId="0" borderId="3" xfId="3" applyBorder="1" applyAlignment="1">
      <alignment horizontal="center" vertical="center"/>
    </xf>
    <xf numFmtId="0" fontId="2" fillId="0" borderId="4" xfId="3" applyBorder="1" applyAlignment="1">
      <alignment horizontal="center" vertical="center"/>
    </xf>
    <xf numFmtId="0" fontId="2" fillId="0" borderId="3" xfId="3" applyBorder="1" applyAlignment="1" applyProtection="1">
      <alignment horizontal="center" vertical="center"/>
      <protection locked="0"/>
    </xf>
    <xf numFmtId="0" fontId="2" fillId="0" borderId="4" xfId="3" applyBorder="1" applyAlignment="1" applyProtection="1">
      <alignment horizontal="center" vertical="center"/>
      <protection locked="0"/>
    </xf>
    <xf numFmtId="0" fontId="4" fillId="5" borderId="2" xfId="3" applyFont="1" applyFill="1" applyBorder="1" applyAlignment="1">
      <alignment horizontal="left" vertical="center"/>
    </xf>
    <xf numFmtId="0" fontId="4" fillId="5" borderId="3" xfId="3" applyFont="1" applyFill="1" applyBorder="1" applyAlignment="1">
      <alignment horizontal="left" vertical="center"/>
    </xf>
    <xf numFmtId="0" fontId="4" fillId="5" borderId="4" xfId="3" applyFont="1" applyFill="1" applyBorder="1" applyAlignment="1">
      <alignment horizontal="left" vertical="center"/>
    </xf>
    <xf numFmtId="0" fontId="2" fillId="0" borderId="2" xfId="3" applyBorder="1" applyAlignment="1" applyProtection="1">
      <alignment horizontal="center" vertical="center"/>
      <protection locked="0"/>
    </xf>
    <xf numFmtId="0" fontId="8" fillId="2" borderId="15" xfId="3" applyFont="1" applyFill="1" applyBorder="1" applyAlignment="1" applyProtection="1">
      <alignment horizontal="left"/>
    </xf>
    <xf numFmtId="0" fontId="8" fillId="2" borderId="0" xfId="3" applyFont="1" applyFill="1" applyBorder="1" applyAlignment="1" applyProtection="1">
      <alignment horizontal="left"/>
    </xf>
    <xf numFmtId="0" fontId="2" fillId="2" borderId="0" xfId="3" applyFill="1" applyBorder="1" applyAlignment="1" applyProtection="1">
      <alignment horizontal="center"/>
    </xf>
    <xf numFmtId="0" fontId="4" fillId="5" borderId="3" xfId="3" applyFont="1" applyFill="1" applyBorder="1" applyAlignment="1">
      <alignment horizontal="center" vertical="center"/>
    </xf>
    <xf numFmtId="0" fontId="4" fillId="2" borderId="42" xfId="3" applyFont="1" applyFill="1" applyBorder="1" applyAlignment="1">
      <alignment horizontal="center" vertical="center"/>
    </xf>
    <xf numFmtId="0" fontId="4" fillId="2" borderId="43" xfId="3" applyFont="1" applyFill="1" applyBorder="1" applyAlignment="1">
      <alignment horizontal="center" vertical="center"/>
    </xf>
    <xf numFmtId="0" fontId="4" fillId="2" borderId="44" xfId="3" applyFont="1" applyFill="1" applyBorder="1" applyAlignment="1">
      <alignment horizontal="center" vertical="center"/>
    </xf>
    <xf numFmtId="0" fontId="2" fillId="0" borderId="3" xfId="3" applyBorder="1"/>
    <xf numFmtId="0" fontId="2" fillId="0" borderId="4" xfId="3" applyBorder="1"/>
    <xf numFmtId="0" fontId="9" fillId="5" borderId="2" xfId="3" applyFont="1" applyFill="1" applyBorder="1" applyAlignment="1">
      <alignment horizontal="center" vertical="center" wrapText="1"/>
    </xf>
    <xf numFmtId="0" fontId="9" fillId="5" borderId="3" xfId="3" applyFont="1" applyFill="1" applyBorder="1" applyAlignment="1">
      <alignment horizontal="center" vertical="center" wrapText="1"/>
    </xf>
    <xf numFmtId="0" fontId="9" fillId="5" borderId="4" xfId="3" applyFont="1" applyFill="1" applyBorder="1" applyAlignment="1">
      <alignment horizontal="center" vertical="center" wrapText="1"/>
    </xf>
    <xf numFmtId="0" fontId="12" fillId="0" borderId="9" xfId="3" applyFont="1" applyBorder="1" applyAlignment="1">
      <alignment horizontal="center" vertical="center"/>
    </xf>
    <xf numFmtId="0" fontId="12" fillId="0" borderId="10" xfId="3" applyFont="1" applyBorder="1" applyAlignment="1">
      <alignment horizontal="center" vertical="center"/>
    </xf>
    <xf numFmtId="0" fontId="12" fillId="0" borderId="14" xfId="3" applyFont="1" applyBorder="1" applyAlignment="1">
      <alignment horizontal="center" vertical="center"/>
    </xf>
    <xf numFmtId="0" fontId="12" fillId="0" borderId="15" xfId="3" applyFont="1" applyBorder="1" applyAlignment="1">
      <alignment horizontal="center" vertical="center"/>
    </xf>
    <xf numFmtId="10" fontId="2" fillId="0" borderId="9" xfId="3" applyNumberFormat="1" applyFont="1" applyBorder="1" applyAlignment="1">
      <alignment horizontal="center" vertical="center"/>
    </xf>
    <xf numFmtId="10" fontId="2" fillId="0" borderId="10" xfId="3" applyNumberFormat="1" applyFont="1" applyBorder="1" applyAlignment="1">
      <alignment horizontal="center" vertical="center"/>
    </xf>
    <xf numFmtId="10" fontId="2" fillId="0" borderId="14" xfId="3" applyNumberFormat="1" applyFont="1" applyBorder="1" applyAlignment="1">
      <alignment horizontal="center" vertical="center"/>
    </xf>
    <xf numFmtId="10" fontId="2" fillId="0" borderId="15" xfId="3" applyNumberFormat="1" applyFont="1" applyBorder="1" applyAlignment="1">
      <alignment horizontal="center" vertical="center"/>
    </xf>
    <xf numFmtId="0" fontId="4" fillId="5" borderId="2" xfId="3" applyFont="1" applyFill="1" applyBorder="1" applyAlignment="1">
      <alignment horizontal="center" vertical="center" wrapText="1"/>
    </xf>
    <xf numFmtId="0" fontId="4" fillId="5" borderId="3" xfId="3" applyFont="1" applyFill="1" applyBorder="1" applyAlignment="1">
      <alignment horizontal="center" vertical="center" wrapText="1"/>
    </xf>
    <xf numFmtId="0" fontId="4" fillId="5" borderId="4" xfId="3" applyFont="1" applyFill="1" applyBorder="1" applyAlignment="1">
      <alignment horizontal="center" vertical="center" wrapText="1"/>
    </xf>
    <xf numFmtId="0" fontId="4" fillId="8" borderId="2" xfId="3" applyFont="1" applyFill="1" applyBorder="1" applyAlignment="1">
      <alignment horizontal="center" vertical="center" wrapText="1"/>
    </xf>
    <xf numFmtId="0" fontId="4" fillId="8" borderId="4" xfId="3" applyFont="1" applyFill="1" applyBorder="1" applyAlignment="1">
      <alignment horizontal="center" vertical="center" wrapText="1"/>
    </xf>
    <xf numFmtId="0" fontId="7" fillId="0" borderId="42" xfId="3" applyFont="1" applyBorder="1" applyAlignment="1">
      <alignment horizontal="center" vertical="center"/>
    </xf>
    <xf numFmtId="0" fontId="7" fillId="0" borderId="45" xfId="3" applyFont="1" applyBorder="1" applyAlignment="1">
      <alignment horizontal="center" vertical="center"/>
    </xf>
    <xf numFmtId="0" fontId="11" fillId="0" borderId="46" xfId="3" applyFont="1" applyBorder="1" applyAlignment="1" applyProtection="1">
      <alignment horizontal="center" vertical="center"/>
    </xf>
    <xf numFmtId="0" fontId="11" fillId="0" borderId="47" xfId="3" applyFont="1" applyBorder="1" applyAlignment="1" applyProtection="1">
      <alignment horizontal="center" vertical="center"/>
    </xf>
    <xf numFmtId="0" fontId="11" fillId="0" borderId="48" xfId="3" applyFont="1" applyBorder="1" applyAlignment="1" applyProtection="1">
      <alignment horizontal="center" vertical="center"/>
    </xf>
    <xf numFmtId="0" fontId="4" fillId="0" borderId="49" xfId="3" applyFont="1" applyBorder="1" applyAlignment="1" applyProtection="1">
      <alignment horizontal="center" vertical="center" shrinkToFit="1"/>
    </xf>
    <xf numFmtId="0" fontId="4" fillId="0" borderId="47" xfId="3" applyFont="1" applyBorder="1" applyAlignment="1" applyProtection="1">
      <alignment horizontal="center" vertical="center" shrinkToFit="1"/>
    </xf>
    <xf numFmtId="0" fontId="4" fillId="0" borderId="50" xfId="3" applyFont="1" applyBorder="1" applyAlignment="1" applyProtection="1">
      <alignment horizontal="center" vertical="center" shrinkToFit="1"/>
    </xf>
    <xf numFmtId="164" fontId="2" fillId="0" borderId="9" xfId="3" applyNumberFormat="1" applyFont="1" applyBorder="1" applyAlignment="1" applyProtection="1">
      <alignment horizontal="center" vertical="center"/>
    </xf>
    <xf numFmtId="164" fontId="2" fillId="0" borderId="10" xfId="3" applyNumberFormat="1" applyFont="1" applyBorder="1" applyAlignment="1" applyProtection="1">
      <alignment horizontal="center" vertical="center"/>
    </xf>
    <xf numFmtId="164" fontId="2" fillId="0" borderId="11" xfId="3" applyNumberFormat="1" applyFont="1" applyBorder="1" applyAlignment="1" applyProtection="1">
      <alignment horizontal="center" vertical="center"/>
    </xf>
    <xf numFmtId="164" fontId="2" fillId="0" borderId="14" xfId="3" applyNumberFormat="1" applyFont="1" applyBorder="1" applyAlignment="1" applyProtection="1">
      <alignment horizontal="center" vertical="center"/>
    </xf>
    <xf numFmtId="164" fontId="2" fillId="0" borderId="15" xfId="3" applyNumberFormat="1" applyFont="1" applyBorder="1" applyAlignment="1" applyProtection="1">
      <alignment horizontal="center" vertical="center"/>
    </xf>
    <xf numFmtId="164" fontId="2" fillId="0" borderId="16" xfId="3" applyNumberFormat="1" applyFont="1" applyBorder="1" applyAlignment="1" applyProtection="1">
      <alignment horizontal="center" vertical="center"/>
    </xf>
    <xf numFmtId="0" fontId="12" fillId="0" borderId="42" xfId="3" applyFont="1" applyBorder="1" applyAlignment="1" applyProtection="1">
      <alignment horizontal="center" vertical="center"/>
      <protection locked="0"/>
    </xf>
    <xf numFmtId="0" fontId="12" fillId="0" borderId="45" xfId="3" applyFont="1" applyBorder="1" applyAlignment="1" applyProtection="1">
      <alignment horizontal="center" vertical="center"/>
      <protection locked="0"/>
    </xf>
    <xf numFmtId="0" fontId="12" fillId="8" borderId="9" xfId="3" applyFont="1" applyFill="1" applyBorder="1" applyAlignment="1" applyProtection="1">
      <alignment horizontal="center" vertical="center"/>
      <protection locked="0"/>
    </xf>
    <xf numFmtId="0" fontId="12" fillId="8" borderId="11" xfId="3" applyFont="1" applyFill="1" applyBorder="1" applyAlignment="1" applyProtection="1">
      <alignment horizontal="center" vertical="center"/>
      <protection locked="0"/>
    </xf>
    <xf numFmtId="0" fontId="12" fillId="8" borderId="14" xfId="3" applyFont="1" applyFill="1" applyBorder="1" applyAlignment="1" applyProtection="1">
      <alignment horizontal="center" vertical="center"/>
      <protection locked="0"/>
    </xf>
    <xf numFmtId="0" fontId="12" fillId="8" borderId="16" xfId="3" applyFont="1" applyFill="1" applyBorder="1" applyAlignment="1" applyProtection="1">
      <alignment horizontal="center" vertical="center"/>
      <protection locked="0"/>
    </xf>
    <xf numFmtId="0" fontId="11" fillId="0" borderId="51" xfId="3" applyFont="1" applyBorder="1" applyAlignment="1" applyProtection="1">
      <alignment horizontal="center" vertical="center"/>
    </xf>
    <xf numFmtId="0" fontId="11" fillId="0" borderId="52" xfId="3" applyFont="1" applyBorder="1" applyAlignment="1" applyProtection="1">
      <alignment horizontal="center" vertical="center"/>
    </xf>
    <xf numFmtId="0" fontId="11" fillId="0" borderId="53" xfId="3" applyFont="1" applyBorder="1" applyAlignment="1" applyProtection="1">
      <alignment horizontal="center" vertical="center"/>
    </xf>
    <xf numFmtId="0" fontId="2" fillId="0" borderId="54" xfId="3" applyFont="1" applyBorder="1" applyAlignment="1" applyProtection="1">
      <alignment horizontal="center" vertical="center" shrinkToFit="1"/>
    </xf>
    <xf numFmtId="0" fontId="2" fillId="0" borderId="15" xfId="3" applyFont="1" applyBorder="1" applyAlignment="1" applyProtection="1">
      <alignment horizontal="center" vertical="center" shrinkToFit="1"/>
    </xf>
    <xf numFmtId="0" fontId="11" fillId="0" borderId="38" xfId="3" applyFont="1" applyBorder="1" applyAlignment="1" applyProtection="1">
      <alignment horizontal="center" vertical="center"/>
    </xf>
    <xf numFmtId="0" fontId="11" fillId="0" borderId="37" xfId="3" applyFont="1" applyBorder="1" applyAlignment="1" applyProtection="1">
      <alignment horizontal="center" vertical="center"/>
    </xf>
    <xf numFmtId="0" fontId="11" fillId="0" borderId="29" xfId="3" applyFont="1" applyBorder="1" applyAlignment="1" applyProtection="1">
      <alignment horizontal="center" vertical="center"/>
    </xf>
    <xf numFmtId="0" fontId="11" fillId="0" borderId="34" xfId="3" applyFont="1" applyBorder="1" applyAlignment="1" applyProtection="1">
      <alignment horizontal="center" vertical="center"/>
    </xf>
    <xf numFmtId="0" fontId="4" fillId="0" borderId="49" xfId="3" applyFont="1" applyBorder="1" applyAlignment="1" applyProtection="1">
      <alignment horizontal="center" vertical="center" shrinkToFit="1"/>
      <protection locked="0"/>
    </xf>
    <xf numFmtId="0" fontId="4" fillId="0" borderId="47" xfId="3" applyFont="1" applyBorder="1" applyAlignment="1" applyProtection="1">
      <alignment horizontal="center" vertical="center" shrinkToFit="1"/>
      <protection locked="0"/>
    </xf>
    <xf numFmtId="0" fontId="4" fillId="0" borderId="50" xfId="3" applyFont="1" applyBorder="1" applyAlignment="1" applyProtection="1">
      <alignment horizontal="center" vertical="center" shrinkToFit="1"/>
      <protection locked="0"/>
    </xf>
    <xf numFmtId="0" fontId="12" fillId="0" borderId="12" xfId="3" applyFont="1" applyBorder="1" applyAlignment="1">
      <alignment horizontal="center" vertical="center"/>
    </xf>
    <xf numFmtId="0" fontId="12" fillId="0" borderId="0" xfId="3" applyFont="1" applyBorder="1" applyAlignment="1">
      <alignment horizontal="center" vertical="center"/>
    </xf>
    <xf numFmtId="10" fontId="2" fillId="0" borderId="12" xfId="3" applyNumberFormat="1" applyFont="1" applyBorder="1" applyAlignment="1">
      <alignment horizontal="center" vertical="center"/>
    </xf>
    <xf numFmtId="10" fontId="2" fillId="0" borderId="0" xfId="3" applyNumberFormat="1" applyFont="1" applyBorder="1" applyAlignment="1">
      <alignment horizontal="center" vertical="center"/>
    </xf>
    <xf numFmtId="164" fontId="2" fillId="0" borderId="12" xfId="3" applyNumberFormat="1" applyFont="1" applyBorder="1" applyAlignment="1" applyProtection="1">
      <alignment horizontal="center" vertical="center"/>
    </xf>
    <xf numFmtId="164" fontId="2" fillId="0" borderId="0" xfId="3" applyNumberFormat="1" applyFont="1" applyBorder="1" applyAlignment="1" applyProtection="1">
      <alignment horizontal="center" vertical="center"/>
    </xf>
    <xf numFmtId="164" fontId="2" fillId="0" borderId="13" xfId="3" applyNumberFormat="1" applyFont="1" applyBorder="1" applyAlignment="1" applyProtection="1">
      <alignment horizontal="center" vertical="center"/>
    </xf>
    <xf numFmtId="0" fontId="12" fillId="0" borderId="43" xfId="3" applyFont="1" applyBorder="1" applyAlignment="1" applyProtection="1">
      <alignment horizontal="center" vertical="center"/>
      <protection locked="0"/>
    </xf>
    <xf numFmtId="0" fontId="12" fillId="8" borderId="12" xfId="3" applyFont="1" applyFill="1" applyBorder="1" applyAlignment="1" applyProtection="1">
      <alignment horizontal="center" vertical="center"/>
      <protection locked="0"/>
    </xf>
    <xf numFmtId="0" fontId="12" fillId="8" borderId="13" xfId="3" applyFont="1" applyFill="1" applyBorder="1" applyAlignment="1" applyProtection="1">
      <alignment horizontal="center" vertical="center"/>
      <protection locked="0"/>
    </xf>
    <xf numFmtId="0" fontId="11" fillId="0" borderId="32" xfId="3" applyFont="1" applyBorder="1" applyAlignment="1" applyProtection="1">
      <alignment horizontal="center" vertical="center"/>
    </xf>
    <xf numFmtId="0" fontId="11" fillId="0" borderId="8" xfId="3" applyFont="1" applyBorder="1" applyAlignment="1" applyProtection="1">
      <alignment horizontal="center" vertical="center"/>
    </xf>
    <xf numFmtId="0" fontId="2" fillId="0" borderId="55" xfId="3" applyFont="1" applyBorder="1" applyAlignment="1" applyProtection="1">
      <alignment horizontal="center" vertical="center" shrinkToFit="1"/>
      <protection locked="0"/>
    </xf>
    <xf numFmtId="0" fontId="2" fillId="0" borderId="0" xfId="3" applyFont="1" applyBorder="1" applyAlignment="1" applyProtection="1">
      <alignment horizontal="center" vertical="center" shrinkToFit="1"/>
      <protection locked="0"/>
    </xf>
    <xf numFmtId="0" fontId="7" fillId="10" borderId="39" xfId="3" applyFont="1" applyFill="1" applyBorder="1" applyAlignment="1" applyProtection="1">
      <alignment horizontal="left" vertical="center" wrapText="1"/>
      <protection locked="0"/>
    </xf>
    <xf numFmtId="0" fontId="7" fillId="10" borderId="40" xfId="3" applyFont="1" applyFill="1" applyBorder="1" applyAlignment="1" applyProtection="1">
      <alignment vertical="center" wrapText="1"/>
      <protection locked="0"/>
    </xf>
    <xf numFmtId="0" fontId="7" fillId="10" borderId="41" xfId="3" applyFont="1" applyFill="1" applyBorder="1" applyAlignment="1" applyProtection="1">
      <alignment vertical="center" wrapText="1"/>
      <protection locked="0"/>
    </xf>
    <xf numFmtId="0" fontId="10" fillId="6" borderId="9" xfId="3" applyFont="1" applyFill="1" applyBorder="1" applyAlignment="1" applyProtection="1">
      <alignment horizontal="center" vertical="center" wrapText="1"/>
    </xf>
    <xf numFmtId="0" fontId="10" fillId="6" borderId="10" xfId="3" applyFont="1" applyFill="1" applyBorder="1" applyAlignment="1" applyProtection="1">
      <alignment horizontal="center" vertical="center" wrapText="1"/>
    </xf>
    <xf numFmtId="0" fontId="10" fillId="6" borderId="11" xfId="3" applyFont="1" applyFill="1" applyBorder="1" applyAlignment="1" applyProtection="1">
      <alignment horizontal="center" vertical="center" wrapText="1"/>
    </xf>
    <xf numFmtId="0" fontId="10" fillId="6" borderId="14" xfId="3" applyFont="1" applyFill="1" applyBorder="1" applyAlignment="1" applyProtection="1">
      <alignment horizontal="center" vertical="center" wrapText="1"/>
    </xf>
    <xf numFmtId="0" fontId="10" fillId="6" borderId="15" xfId="3" applyFont="1" applyFill="1" applyBorder="1" applyAlignment="1" applyProtection="1">
      <alignment horizontal="center" vertical="center" wrapText="1"/>
    </xf>
    <xf numFmtId="0" fontId="10" fillId="6" borderId="16" xfId="3" applyFont="1" applyFill="1" applyBorder="1" applyAlignment="1" applyProtection="1">
      <alignment horizontal="center" vertical="center" wrapText="1"/>
    </xf>
    <xf numFmtId="20" fontId="2" fillId="0" borderId="27" xfId="3" applyNumberFormat="1" applyFill="1" applyBorder="1" applyAlignment="1" applyProtection="1">
      <alignment horizontal="center"/>
      <protection locked="0"/>
    </xf>
    <xf numFmtId="0" fontId="2" fillId="0" borderId="56" xfId="3" applyFill="1" applyBorder="1" applyAlignment="1" applyProtection="1">
      <alignment horizontal="center"/>
      <protection locked="0"/>
    </xf>
    <xf numFmtId="0" fontId="2" fillId="0" borderId="57" xfId="3" applyFill="1" applyBorder="1" applyAlignment="1" applyProtection="1">
      <alignment horizontal="center"/>
      <protection locked="0"/>
    </xf>
    <xf numFmtId="0" fontId="4" fillId="11" borderId="12" xfId="3" applyFont="1" applyFill="1" applyBorder="1" applyAlignment="1">
      <alignment horizontal="center" vertical="center" wrapText="1"/>
    </xf>
    <xf numFmtId="0" fontId="4" fillId="11" borderId="0" xfId="3" applyFont="1" applyFill="1" applyBorder="1" applyAlignment="1">
      <alignment horizontal="center" vertical="center" wrapText="1"/>
    </xf>
    <xf numFmtId="0" fontId="4" fillId="11" borderId="10" xfId="3" applyFont="1" applyFill="1" applyBorder="1" applyAlignment="1">
      <alignment horizontal="center" vertical="center" wrapText="1"/>
    </xf>
    <xf numFmtId="0" fontId="4" fillId="11" borderId="11" xfId="3" applyFont="1" applyFill="1" applyBorder="1" applyAlignment="1">
      <alignment horizontal="center" vertical="center" wrapText="1"/>
    </xf>
    <xf numFmtId="0" fontId="4" fillId="11" borderId="13" xfId="3" applyFont="1" applyFill="1" applyBorder="1" applyAlignment="1">
      <alignment horizontal="center" vertical="center" wrapText="1"/>
    </xf>
    <xf numFmtId="0" fontId="4" fillId="11" borderId="14" xfId="3" applyFont="1" applyFill="1" applyBorder="1" applyAlignment="1">
      <alignment horizontal="center" vertical="center" wrapText="1"/>
    </xf>
    <xf numFmtId="0" fontId="4" fillId="11" borderId="15" xfId="3" applyFont="1" applyFill="1" applyBorder="1" applyAlignment="1">
      <alignment horizontal="center" vertical="center" wrapText="1"/>
    </xf>
    <xf numFmtId="0" fontId="4" fillId="11" borderId="16" xfId="3" applyFont="1" applyFill="1" applyBorder="1" applyAlignment="1">
      <alignment horizontal="center" vertical="center" wrapText="1"/>
    </xf>
    <xf numFmtId="20" fontId="2" fillId="0" borderId="5" xfId="3" applyNumberFormat="1" applyFill="1" applyBorder="1" applyAlignment="1" applyProtection="1">
      <alignment horizontal="center"/>
      <protection locked="0"/>
    </xf>
    <xf numFmtId="20" fontId="2" fillId="0" borderId="6" xfId="3" applyNumberFormat="1" applyFill="1" applyBorder="1" applyAlignment="1" applyProtection="1">
      <alignment horizontal="center"/>
      <protection locked="0"/>
    </xf>
    <xf numFmtId="20" fontId="2" fillId="0" borderId="19" xfId="3" applyNumberFormat="1" applyFill="1" applyBorder="1" applyAlignment="1" applyProtection="1">
      <alignment horizontal="center"/>
      <protection locked="0"/>
    </xf>
    <xf numFmtId="0" fontId="4" fillId="8" borderId="5" xfId="3" applyFont="1" applyFill="1" applyBorder="1" applyAlignment="1">
      <alignment horizontal="center"/>
    </xf>
    <xf numFmtId="0" fontId="4" fillId="8" borderId="6" xfId="3" applyFont="1" applyFill="1" applyBorder="1" applyAlignment="1">
      <alignment horizontal="center"/>
    </xf>
    <xf numFmtId="0" fontId="4" fillId="8" borderId="19" xfId="3" applyFont="1" applyFill="1" applyBorder="1" applyAlignment="1">
      <alignment horizontal="center"/>
    </xf>
    <xf numFmtId="0" fontId="6" fillId="8" borderId="5" xfId="3" applyFont="1" applyFill="1" applyBorder="1" applyAlignment="1" applyProtection="1">
      <alignment horizontal="center"/>
      <protection locked="0"/>
    </xf>
    <xf numFmtId="0" fontId="6" fillId="8" borderId="6" xfId="3" applyFont="1" applyFill="1" applyBorder="1" applyAlignment="1" applyProtection="1">
      <alignment horizontal="center"/>
      <protection locked="0"/>
    </xf>
    <xf numFmtId="0" fontId="6" fillId="8" borderId="19" xfId="3" applyFont="1" applyFill="1" applyBorder="1" applyAlignment="1" applyProtection="1">
      <alignment horizontal="center"/>
      <protection locked="0"/>
    </xf>
    <xf numFmtId="0" fontId="2" fillId="0" borderId="0" xfId="3" applyFill="1" applyAlignment="1" applyProtection="1">
      <alignment horizontal="center" wrapText="1"/>
      <protection hidden="1"/>
    </xf>
    <xf numFmtId="0" fontId="2" fillId="0" borderId="0" xfId="3" applyAlignment="1" applyProtection="1">
      <alignment horizontal="left"/>
    </xf>
    <xf numFmtId="0" fontId="2" fillId="0" borderId="0" xfId="3" applyAlignment="1" applyProtection="1">
      <alignment horizontal="center"/>
      <protection locked="0"/>
    </xf>
    <xf numFmtId="0" fontId="2" fillId="0" borderId="0" xfId="3" applyAlignment="1" applyProtection="1">
      <alignment horizontal="left"/>
      <protection locked="0"/>
    </xf>
    <xf numFmtId="0" fontId="14" fillId="0" borderId="0" xfId="3" applyFont="1" applyAlignment="1">
      <alignment horizontal="center"/>
    </xf>
    <xf numFmtId="0" fontId="11" fillId="12" borderId="42" xfId="3" applyFont="1" applyFill="1" applyBorder="1" applyAlignment="1">
      <alignment horizontal="center" wrapText="1"/>
    </xf>
    <xf numFmtId="0" fontId="11" fillId="12" borderId="14" xfId="3" applyFont="1" applyFill="1" applyBorder="1" applyAlignment="1">
      <alignment horizontal="center" wrapText="1"/>
    </xf>
    <xf numFmtId="0" fontId="2" fillId="13" borderId="9" xfId="3" applyFill="1" applyBorder="1" applyAlignment="1">
      <alignment horizontal="center"/>
    </xf>
    <xf numFmtId="0" fontId="2" fillId="13" borderId="10" xfId="3" applyFill="1" applyBorder="1" applyAlignment="1">
      <alignment horizontal="center"/>
    </xf>
    <xf numFmtId="0" fontId="2" fillId="13" borderId="11" xfId="3" applyFill="1" applyBorder="1" applyAlignment="1">
      <alignment horizontal="center"/>
    </xf>
    <xf numFmtId="0" fontId="2" fillId="13" borderId="2" xfId="3" applyFill="1" applyBorder="1" applyAlignment="1">
      <alignment horizontal="center"/>
    </xf>
    <xf numFmtId="0" fontId="2" fillId="13" borderId="3" xfId="3" applyFill="1" applyBorder="1" applyAlignment="1">
      <alignment horizontal="center"/>
    </xf>
    <xf numFmtId="0" fontId="2" fillId="13" borderId="4" xfId="3" applyFill="1" applyBorder="1" applyAlignment="1">
      <alignment horizontal="center"/>
    </xf>
    <xf numFmtId="0" fontId="2" fillId="18" borderId="2" xfId="3" applyFill="1" applyBorder="1" applyAlignment="1">
      <alignment horizontal="center"/>
    </xf>
    <xf numFmtId="0" fontId="2" fillId="18" borderId="3" xfId="3" applyFill="1" applyBorder="1" applyAlignment="1">
      <alignment horizontal="center"/>
    </xf>
    <xf numFmtId="0" fontId="2" fillId="18" borderId="4" xfId="3" applyFill="1" applyBorder="1" applyAlignment="1">
      <alignment horizontal="center"/>
    </xf>
    <xf numFmtId="0" fontId="11" fillId="5" borderId="20" xfId="3" applyFont="1" applyFill="1" applyBorder="1" applyAlignment="1">
      <alignment horizontal="center"/>
    </xf>
    <xf numFmtId="0" fontId="11" fillId="5" borderId="21" xfId="3" applyFont="1" applyFill="1" applyBorder="1" applyAlignment="1">
      <alignment horizontal="center"/>
    </xf>
    <xf numFmtId="0" fontId="11" fillId="18" borderId="20" xfId="3" applyFont="1" applyFill="1" applyBorder="1" applyAlignment="1">
      <alignment horizontal="center"/>
    </xf>
    <xf numFmtId="0" fontId="11" fillId="18" borderId="21" xfId="3" applyFont="1" applyFill="1" applyBorder="1" applyAlignment="1">
      <alignment horizontal="center"/>
    </xf>
    <xf numFmtId="0" fontId="25" fillId="19" borderId="25" xfId="3" applyFont="1" applyFill="1" applyBorder="1" applyAlignment="1">
      <alignment horizontal="center" shrinkToFit="1"/>
    </xf>
    <xf numFmtId="0" fontId="25" fillId="19" borderId="26" xfId="3" applyFont="1" applyFill="1" applyBorder="1" applyAlignment="1">
      <alignment horizontal="center" shrinkToFit="1"/>
    </xf>
    <xf numFmtId="0" fontId="25" fillId="19" borderId="26" xfId="3" applyFont="1" applyFill="1" applyBorder="1" applyAlignment="1">
      <alignment horizontal="center"/>
    </xf>
    <xf numFmtId="0" fontId="26" fillId="19" borderId="26" xfId="3" applyFont="1" applyFill="1" applyBorder="1" applyAlignment="1">
      <alignment horizontal="center"/>
    </xf>
    <xf numFmtId="0" fontId="25" fillId="20" borderId="25" xfId="3" applyFont="1" applyFill="1" applyBorder="1" applyAlignment="1">
      <alignment horizontal="center" shrinkToFit="1"/>
    </xf>
    <xf numFmtId="0" fontId="25" fillId="20" borderId="26" xfId="3" applyFont="1" applyFill="1" applyBorder="1" applyAlignment="1">
      <alignment horizontal="center" shrinkToFit="1"/>
    </xf>
    <xf numFmtId="0" fontId="25" fillId="20" borderId="26" xfId="3" applyFont="1" applyFill="1" applyBorder="1" applyAlignment="1">
      <alignment horizontal="center"/>
    </xf>
    <xf numFmtId="0" fontId="26" fillId="20" borderId="26" xfId="3" applyFont="1" applyFill="1" applyBorder="1" applyAlignment="1">
      <alignment horizontal="center"/>
    </xf>
    <xf numFmtId="0" fontId="25" fillId="15" borderId="29" xfId="3" applyFont="1" applyFill="1" applyBorder="1" applyAlignment="1">
      <alignment horizontal="center" shrinkToFit="1"/>
    </xf>
    <xf numFmtId="0" fontId="25" fillId="15" borderId="34" xfId="3" applyFont="1" applyFill="1" applyBorder="1" applyAlignment="1">
      <alignment horizontal="center" shrinkToFit="1"/>
    </xf>
    <xf numFmtId="0" fontId="25" fillId="15" borderId="34" xfId="3" applyFont="1" applyFill="1" applyBorder="1" applyAlignment="1">
      <alignment horizontal="center"/>
    </xf>
    <xf numFmtId="0" fontId="25" fillId="18" borderId="25" xfId="3" applyFont="1" applyFill="1" applyBorder="1" applyAlignment="1">
      <alignment horizontal="center" shrinkToFit="1"/>
    </xf>
    <xf numFmtId="0" fontId="25" fillId="18" borderId="26" xfId="3" applyFont="1" applyFill="1" applyBorder="1" applyAlignment="1">
      <alignment horizontal="center" shrinkToFit="1"/>
    </xf>
    <xf numFmtId="0" fontId="25" fillId="19" borderId="38" xfId="3" applyFont="1" applyFill="1" applyBorder="1" applyAlignment="1">
      <alignment horizontal="center" shrinkToFit="1"/>
    </xf>
    <xf numFmtId="0" fontId="25" fillId="19" borderId="37" xfId="3" applyFont="1" applyFill="1" applyBorder="1" applyAlignment="1">
      <alignment horizontal="center" shrinkToFit="1"/>
    </xf>
    <xf numFmtId="0" fontId="25" fillId="18" borderId="26" xfId="3" applyFont="1" applyFill="1" applyBorder="1" applyAlignment="1">
      <alignment horizontal="center"/>
    </xf>
    <xf numFmtId="0" fontId="26" fillId="18" borderId="26" xfId="3" applyFont="1" applyFill="1" applyBorder="1" applyAlignment="1">
      <alignment horizontal="center"/>
    </xf>
    <xf numFmtId="0" fontId="25" fillId="15" borderId="17" xfId="3" applyFont="1" applyFill="1" applyBorder="1" applyAlignment="1">
      <alignment horizontal="center" shrinkToFit="1"/>
    </xf>
    <xf numFmtId="0" fontId="25" fillId="15" borderId="1" xfId="3" applyFont="1" applyFill="1" applyBorder="1" applyAlignment="1">
      <alignment horizontal="center" shrinkToFit="1"/>
    </xf>
    <xf numFmtId="0" fontId="25" fillId="15" borderId="1" xfId="3" applyFont="1" applyFill="1" applyBorder="1" applyAlignment="1">
      <alignment horizontal="center"/>
    </xf>
    <xf numFmtId="0" fontId="26" fillId="15" borderId="1" xfId="3" applyFont="1" applyFill="1" applyBorder="1" applyAlignment="1">
      <alignment horizontal="center"/>
    </xf>
    <xf numFmtId="0" fontId="25" fillId="19" borderId="17" xfId="3" applyFont="1" applyFill="1" applyBorder="1" applyAlignment="1">
      <alignment horizontal="center" shrinkToFit="1"/>
    </xf>
    <xf numFmtId="0" fontId="25" fillId="19" borderId="1" xfId="3" applyFont="1" applyFill="1" applyBorder="1" applyAlignment="1">
      <alignment horizontal="center" shrinkToFit="1"/>
    </xf>
    <xf numFmtId="0" fontId="25" fillId="19" borderId="1" xfId="3" applyFont="1" applyFill="1" applyBorder="1" applyAlignment="1">
      <alignment horizontal="center"/>
    </xf>
    <xf numFmtId="0" fontId="26" fillId="19" borderId="1" xfId="3" applyFont="1" applyFill="1" applyBorder="1" applyAlignment="1">
      <alignment horizontal="center"/>
    </xf>
    <xf numFmtId="0" fontId="25" fillId="20" borderId="17" xfId="3" applyFont="1" applyFill="1" applyBorder="1" applyAlignment="1">
      <alignment horizontal="center" shrinkToFit="1"/>
    </xf>
    <xf numFmtId="0" fontId="25" fillId="20" borderId="1" xfId="3" applyFont="1" applyFill="1" applyBorder="1" applyAlignment="1">
      <alignment horizontal="center" shrinkToFit="1"/>
    </xf>
    <xf numFmtId="0" fontId="25" fillId="20" borderId="38" xfId="3" applyFont="1" applyFill="1" applyBorder="1" applyAlignment="1">
      <alignment horizontal="center" shrinkToFit="1"/>
    </xf>
    <xf numFmtId="0" fontId="25" fillId="20" borderId="37" xfId="3" applyFont="1" applyFill="1" applyBorder="1" applyAlignment="1">
      <alignment horizontal="center" shrinkToFit="1"/>
    </xf>
    <xf numFmtId="0" fontId="25" fillId="20" borderId="37" xfId="3" applyFont="1" applyFill="1" applyBorder="1" applyAlignment="1">
      <alignment horizontal="center"/>
    </xf>
    <xf numFmtId="0" fontId="26" fillId="20" borderId="37" xfId="3" applyFont="1" applyFill="1" applyBorder="1" applyAlignment="1">
      <alignment horizontal="center"/>
    </xf>
    <xf numFmtId="0" fontId="25" fillId="15" borderId="38" xfId="3" applyFont="1" applyFill="1" applyBorder="1" applyAlignment="1">
      <alignment horizontal="center" shrinkToFit="1"/>
    </xf>
    <xf numFmtId="0" fontId="25" fillId="15" borderId="37" xfId="3" applyFont="1" applyFill="1" applyBorder="1" applyAlignment="1">
      <alignment horizontal="center" shrinkToFit="1"/>
    </xf>
    <xf numFmtId="0" fontId="25" fillId="15" borderId="37" xfId="3" applyFont="1" applyFill="1" applyBorder="1" applyAlignment="1">
      <alignment horizontal="center"/>
    </xf>
    <xf numFmtId="0" fontId="26" fillId="15" borderId="37" xfId="3" applyFont="1" applyFill="1" applyBorder="1" applyAlignment="1">
      <alignment horizontal="center"/>
    </xf>
    <xf numFmtId="0" fontId="25" fillId="19" borderId="37" xfId="3" applyFont="1" applyFill="1" applyBorder="1" applyAlignment="1">
      <alignment horizontal="center"/>
    </xf>
    <xf numFmtId="0" fontId="25" fillId="18" borderId="38" xfId="3" applyFont="1" applyFill="1" applyBorder="1" applyAlignment="1">
      <alignment horizontal="center" shrinkToFit="1"/>
    </xf>
    <xf numFmtId="0" fontId="25" fillId="18" borderId="37" xfId="3" applyFont="1" applyFill="1" applyBorder="1" applyAlignment="1">
      <alignment horizontal="center" shrinkToFit="1"/>
    </xf>
    <xf numFmtId="0" fontId="25" fillId="18" borderId="37" xfId="3" applyFont="1" applyFill="1" applyBorder="1" applyAlignment="1">
      <alignment horizontal="center"/>
    </xf>
    <xf numFmtId="0" fontId="26" fillId="18" borderId="37" xfId="3" applyFont="1" applyFill="1" applyBorder="1" applyAlignment="1">
      <alignment horizontal="center"/>
    </xf>
    <xf numFmtId="0" fontId="25" fillId="18" borderId="17" xfId="3" applyFont="1" applyFill="1" applyBorder="1" applyAlignment="1">
      <alignment horizontal="center" shrinkToFit="1"/>
    </xf>
    <xf numFmtId="0" fontId="25" fillId="18" borderId="1" xfId="3" applyFont="1" applyFill="1" applyBorder="1" applyAlignment="1">
      <alignment horizontal="center" shrinkToFit="1"/>
    </xf>
    <xf numFmtId="0" fontId="25" fillId="18" borderId="1" xfId="3" applyFont="1" applyFill="1" applyBorder="1" applyAlignment="1">
      <alignment horizontal="center"/>
    </xf>
    <xf numFmtId="0" fontId="26" fillId="18" borderId="1" xfId="3" applyFont="1" applyFill="1" applyBorder="1" applyAlignment="1">
      <alignment horizontal="center"/>
    </xf>
    <xf numFmtId="0" fontId="25" fillId="20" borderId="1" xfId="3" applyFont="1" applyFill="1" applyBorder="1" applyAlignment="1">
      <alignment horizontal="center"/>
    </xf>
    <xf numFmtId="0" fontId="6" fillId="15" borderId="2" xfId="3" applyFont="1" applyFill="1" applyBorder="1" applyAlignment="1">
      <alignment horizontal="center" vertical="center" shrinkToFit="1"/>
    </xf>
    <xf numFmtId="0" fontId="6" fillId="15" borderId="3" xfId="3" applyFont="1" applyFill="1" applyBorder="1" applyAlignment="1">
      <alignment horizontal="center" vertical="center" shrinkToFit="1"/>
    </xf>
    <xf numFmtId="0" fontId="6" fillId="15" borderId="4" xfId="3" applyFont="1" applyFill="1" applyBorder="1" applyAlignment="1">
      <alignment horizontal="center" vertical="center" shrinkToFit="1"/>
    </xf>
    <xf numFmtId="0" fontId="6" fillId="20" borderId="2" xfId="3" applyFont="1" applyFill="1" applyBorder="1" applyAlignment="1">
      <alignment horizontal="center" vertical="center" shrinkToFit="1"/>
    </xf>
    <xf numFmtId="0" fontId="6" fillId="20" borderId="3" xfId="3" applyFont="1" applyFill="1" applyBorder="1" applyAlignment="1">
      <alignment horizontal="center" vertical="center" shrinkToFit="1"/>
    </xf>
    <xf numFmtId="0" fontId="6" fillId="20" borderId="4" xfId="3" applyFont="1" applyFill="1" applyBorder="1" applyAlignment="1">
      <alignment horizontal="center" vertical="center" shrinkToFit="1"/>
    </xf>
    <xf numFmtId="0" fontId="25" fillId="15" borderId="25" xfId="3" applyFont="1" applyFill="1" applyBorder="1" applyAlignment="1">
      <alignment horizontal="center" shrinkToFit="1"/>
    </xf>
    <xf numFmtId="0" fontId="25" fillId="15" borderId="26" xfId="3" applyFont="1" applyFill="1" applyBorder="1" applyAlignment="1">
      <alignment horizontal="center" shrinkToFit="1"/>
    </xf>
    <xf numFmtId="0" fontId="25" fillId="15" borderId="26" xfId="3" applyFont="1" applyFill="1" applyBorder="1" applyAlignment="1">
      <alignment horizontal="center"/>
    </xf>
    <xf numFmtId="0" fontId="26" fillId="15" borderId="26" xfId="3" applyFont="1" applyFill="1" applyBorder="1" applyAlignment="1">
      <alignment horizontal="center"/>
    </xf>
    <xf numFmtId="0" fontId="25" fillId="20" borderId="29" xfId="3" applyFont="1" applyFill="1" applyBorder="1" applyAlignment="1">
      <alignment horizontal="center" shrinkToFit="1"/>
    </xf>
    <xf numFmtId="0" fontId="25" fillId="20" borderId="34" xfId="3" applyFont="1" applyFill="1" applyBorder="1" applyAlignment="1">
      <alignment horizontal="center" shrinkToFit="1"/>
    </xf>
    <xf numFmtId="0" fontId="25" fillId="20" borderId="34" xfId="3" applyFont="1" applyFill="1" applyBorder="1" applyAlignment="1">
      <alignment horizontal="center"/>
    </xf>
    <xf numFmtId="0" fontId="26" fillId="19" borderId="37" xfId="3" applyFont="1" applyFill="1" applyBorder="1" applyAlignment="1">
      <alignment horizontal="center"/>
    </xf>
    <xf numFmtId="0" fontId="0" fillId="21" borderId="0" xfId="4" applyFont="1" applyFill="1" applyBorder="1"/>
    <xf numFmtId="0" fontId="1" fillId="21" borderId="0" xfId="4" applyFill="1" applyBorder="1"/>
    <xf numFmtId="165" fontId="1" fillId="21" borderId="0" xfId="4" applyNumberFormat="1" applyFill="1" applyBorder="1"/>
    <xf numFmtId="0" fontId="0" fillId="21" borderId="0" xfId="4" applyFont="1" applyFill="1" applyBorder="1" applyAlignment="1">
      <alignment wrapText="1"/>
    </xf>
    <xf numFmtId="0" fontId="1" fillId="0" borderId="0" xfId="4"/>
    <xf numFmtId="0" fontId="4" fillId="22" borderId="2" xfId="3" applyFont="1" applyFill="1" applyBorder="1" applyAlignment="1" applyProtection="1">
      <alignment horizontal="center"/>
      <protection locked="0"/>
    </xf>
    <xf numFmtId="0" fontId="4" fillId="22" borderId="3" xfId="3" applyFont="1" applyFill="1" applyBorder="1" applyAlignment="1" applyProtection="1">
      <alignment horizontal="center"/>
      <protection locked="0"/>
    </xf>
    <xf numFmtId="0" fontId="4" fillId="22" borderId="4" xfId="3" applyFont="1" applyFill="1" applyBorder="1" applyAlignment="1" applyProtection="1">
      <alignment horizontal="center"/>
      <protection locked="0"/>
    </xf>
    <xf numFmtId="0" fontId="4" fillId="22" borderId="20" xfId="3" applyFont="1" applyFill="1" applyBorder="1" applyAlignment="1">
      <alignment horizontal="center"/>
    </xf>
    <xf numFmtId="0" fontId="4" fillId="22" borderId="23" xfId="3" applyFont="1" applyFill="1" applyBorder="1" applyAlignment="1">
      <alignment horizontal="center"/>
    </xf>
    <xf numFmtId="0" fontId="2" fillId="22" borderId="20" xfId="3" applyFont="1" applyFill="1" applyBorder="1" applyAlignment="1" applyProtection="1">
      <alignment horizontal="center"/>
      <protection locked="0"/>
    </xf>
    <xf numFmtId="0" fontId="4" fillId="22" borderId="21" xfId="3" applyFont="1" applyFill="1" applyBorder="1" applyAlignment="1" applyProtection="1">
      <alignment horizontal="center"/>
      <protection locked="0"/>
    </xf>
    <xf numFmtId="0" fontId="4" fillId="22" borderId="22" xfId="3" applyFont="1" applyFill="1" applyBorder="1" applyAlignment="1" applyProtection="1">
      <alignment horizontal="center"/>
      <protection locked="0"/>
    </xf>
    <xf numFmtId="0" fontId="4" fillId="22" borderId="23" xfId="3" applyFont="1" applyFill="1" applyBorder="1" applyAlignment="1">
      <alignment horizontal="center"/>
    </xf>
    <xf numFmtId="0" fontId="4" fillId="22" borderId="24" xfId="3" applyFont="1" applyFill="1" applyBorder="1" applyAlignment="1">
      <alignment horizontal="center"/>
    </xf>
    <xf numFmtId="0" fontId="2" fillId="22" borderId="25" xfId="3" applyFont="1" applyFill="1" applyBorder="1" applyAlignment="1" applyProtection="1">
      <alignment horizontal="center"/>
      <protection locked="0"/>
    </xf>
    <xf numFmtId="0" fontId="2" fillId="22" borderId="58" xfId="0" applyFont="1" applyFill="1" applyBorder="1" applyAlignment="1" applyProtection="1">
      <alignment vertical="top"/>
      <protection locked="0"/>
    </xf>
    <xf numFmtId="0" fontId="2" fillId="22" borderId="28" xfId="3" applyFill="1" applyBorder="1" applyAlignment="1" applyProtection="1">
      <alignment horizontal="center"/>
      <protection locked="0"/>
    </xf>
    <xf numFmtId="2" fontId="2" fillId="22" borderId="29" xfId="3" applyNumberFormat="1" applyFill="1" applyBorder="1" applyAlignment="1">
      <alignment horizontal="center"/>
    </xf>
    <xf numFmtId="2" fontId="2" fillId="22" borderId="30" xfId="3" applyNumberFormat="1" applyFill="1" applyBorder="1" applyAlignment="1">
      <alignment horizontal="center"/>
    </xf>
    <xf numFmtId="0" fontId="2" fillId="22" borderId="17" xfId="3" applyFont="1" applyFill="1" applyBorder="1" applyAlignment="1" applyProtection="1">
      <alignment horizontal="center"/>
      <protection locked="0"/>
    </xf>
    <xf numFmtId="0" fontId="2" fillId="22" borderId="31" xfId="3" applyFill="1" applyBorder="1" applyAlignment="1" applyProtection="1">
      <alignment horizontal="center"/>
      <protection locked="0"/>
    </xf>
    <xf numFmtId="2" fontId="2" fillId="22" borderId="17" xfId="3" applyNumberFormat="1" applyFill="1" applyBorder="1" applyAlignment="1">
      <alignment horizontal="center"/>
    </xf>
    <xf numFmtId="2" fontId="2" fillId="22" borderId="31" xfId="3" applyNumberFormat="1" applyFill="1" applyBorder="1" applyAlignment="1">
      <alignment horizontal="center"/>
    </xf>
    <xf numFmtId="0" fontId="2" fillId="22" borderId="1" xfId="3" applyFill="1" applyBorder="1" applyAlignment="1" applyProtection="1">
      <alignment horizontal="center"/>
      <protection locked="0"/>
    </xf>
    <xf numFmtId="0" fontId="2" fillId="22" borderId="5" xfId="3" applyFill="1" applyBorder="1" applyAlignment="1" applyProtection="1">
      <alignment horizontal="center"/>
      <protection locked="0"/>
    </xf>
    <xf numFmtId="0" fontId="2" fillId="22" borderId="32" xfId="3" applyFont="1" applyFill="1" applyBorder="1" applyAlignment="1" applyProtection="1">
      <alignment horizontal="center"/>
      <protection locked="0"/>
    </xf>
    <xf numFmtId="0" fontId="2" fillId="22" borderId="8" xfId="3" applyFill="1" applyBorder="1" applyAlignment="1" applyProtection="1">
      <alignment horizontal="center"/>
      <protection locked="0"/>
    </xf>
    <xf numFmtId="0" fontId="2" fillId="22" borderId="33" xfId="3" applyFill="1" applyBorder="1" applyAlignment="1" applyProtection="1">
      <alignment horizontal="center"/>
      <protection locked="0"/>
    </xf>
    <xf numFmtId="2" fontId="2" fillId="22" borderId="32" xfId="3" applyNumberFormat="1" applyFill="1" applyBorder="1" applyAlignment="1">
      <alignment horizontal="center"/>
    </xf>
    <xf numFmtId="2" fontId="2" fillId="22" borderId="33" xfId="3" applyNumberFormat="1" applyFill="1" applyBorder="1" applyAlignment="1">
      <alignment horizontal="center"/>
    </xf>
    <xf numFmtId="0" fontId="10" fillId="22" borderId="9" xfId="3" applyFont="1" applyFill="1" applyBorder="1" applyAlignment="1" applyProtection="1">
      <alignment horizontal="center" vertical="center" wrapText="1"/>
    </xf>
    <xf numFmtId="0" fontId="10" fillId="22" borderId="10" xfId="3" applyFont="1" applyFill="1" applyBorder="1" applyAlignment="1" applyProtection="1">
      <alignment horizontal="center" vertical="center" wrapText="1"/>
    </xf>
    <xf numFmtId="0" fontId="10" fillId="22" borderId="11" xfId="3" applyFont="1" applyFill="1" applyBorder="1" applyAlignment="1" applyProtection="1">
      <alignment horizontal="center" vertical="center" wrapText="1"/>
    </xf>
    <xf numFmtId="0" fontId="10" fillId="22" borderId="14" xfId="3" applyFont="1" applyFill="1" applyBorder="1" applyAlignment="1" applyProtection="1">
      <alignment horizontal="center" vertical="center" wrapText="1"/>
    </xf>
    <xf numFmtId="0" fontId="10" fillId="22" borderId="15" xfId="3" applyFont="1" applyFill="1" applyBorder="1" applyAlignment="1" applyProtection="1">
      <alignment horizontal="center" vertical="center" wrapText="1"/>
    </xf>
    <xf numFmtId="0" fontId="10" fillId="22" borderId="16" xfId="3" applyFont="1" applyFill="1" applyBorder="1" applyAlignment="1" applyProtection="1">
      <alignment horizontal="center" vertical="center" wrapText="1"/>
    </xf>
    <xf numFmtId="0" fontId="2" fillId="22" borderId="0" xfId="3" applyFill="1"/>
    <xf numFmtId="0" fontId="2" fillId="22" borderId="0" xfId="3" applyFill="1" applyProtection="1">
      <protection locked="0"/>
    </xf>
    <xf numFmtId="0" fontId="2" fillId="22" borderId="0" xfId="3" applyFont="1" applyFill="1" applyBorder="1" applyAlignment="1" applyProtection="1">
      <alignment horizontal="center"/>
      <protection locked="0"/>
    </xf>
    <xf numFmtId="0" fontId="2" fillId="22" borderId="0" xfId="3" applyFill="1" applyBorder="1" applyAlignment="1" applyProtection="1">
      <alignment horizontal="center"/>
      <protection locked="0"/>
    </xf>
    <xf numFmtId="0" fontId="2" fillId="22" borderId="0" xfId="3" applyFill="1" applyAlignment="1">
      <alignment horizontal="center"/>
    </xf>
    <xf numFmtId="0" fontId="2" fillId="22" borderId="0" xfId="3" applyFill="1" applyProtection="1">
      <protection hidden="1"/>
    </xf>
    <xf numFmtId="0" fontId="2" fillId="22" borderId="0" xfId="3" applyFill="1" applyAlignment="1" applyProtection="1">
      <alignment horizontal="center"/>
      <protection hidden="1"/>
    </xf>
    <xf numFmtId="0" fontId="4" fillId="22" borderId="0" xfId="3" applyFont="1" applyFill="1" applyProtection="1">
      <protection hidden="1"/>
    </xf>
    <xf numFmtId="2" fontId="2" fillId="22" borderId="0" xfId="3" applyNumberFormat="1" applyFill="1" applyProtection="1">
      <protection hidden="1"/>
    </xf>
    <xf numFmtId="2" fontId="2" fillId="22" borderId="0" xfId="3" applyNumberFormat="1" applyFill="1" applyAlignment="1" applyProtection="1">
      <alignment horizontal="center"/>
      <protection hidden="1"/>
    </xf>
    <xf numFmtId="1" fontId="2" fillId="22" borderId="0" xfId="3" applyNumberFormat="1" applyFill="1" applyProtection="1">
      <protection hidden="1"/>
    </xf>
    <xf numFmtId="1" fontId="2" fillId="22" borderId="0" xfId="3" applyNumberFormat="1" applyFill="1" applyAlignment="1" applyProtection="1">
      <alignment horizontal="center"/>
      <protection hidden="1"/>
    </xf>
    <xf numFmtId="0" fontId="11" fillId="22" borderId="0" xfId="3" applyFont="1" applyFill="1" applyBorder="1" applyAlignment="1" applyProtection="1">
      <protection locked="0"/>
    </xf>
    <xf numFmtId="0" fontId="2" fillId="22" borderId="26" xfId="3" applyFill="1" applyBorder="1" applyAlignment="1" applyProtection="1">
      <alignment horizontal="center"/>
      <protection locked="0"/>
    </xf>
    <xf numFmtId="2" fontId="2" fillId="22" borderId="28" xfId="3" applyNumberFormat="1" applyFill="1" applyBorder="1" applyAlignment="1" applyProtection="1">
      <alignment horizontal="center"/>
      <protection locked="0"/>
    </xf>
    <xf numFmtId="0" fontId="2" fillId="2" borderId="15" xfId="3" applyFill="1" applyBorder="1" applyAlignment="1" applyProtection="1">
      <alignment horizontal="center"/>
    </xf>
    <xf numFmtId="0" fontId="4" fillId="0" borderId="20" xfId="3" applyFont="1" applyBorder="1" applyAlignment="1">
      <alignment horizontal="center"/>
    </xf>
    <xf numFmtId="0" fontId="4" fillId="0" borderId="23" xfId="3" applyFont="1" applyBorder="1" applyAlignment="1">
      <alignment horizontal="center"/>
    </xf>
    <xf numFmtId="0" fontId="5" fillId="5" borderId="2" xfId="3" applyFont="1" applyFill="1" applyBorder="1" applyAlignment="1" applyProtection="1">
      <alignment horizontal="center"/>
      <protection locked="0"/>
    </xf>
    <xf numFmtId="0" fontId="5" fillId="5" borderId="3" xfId="3" applyFont="1" applyFill="1" applyBorder="1" applyAlignment="1" applyProtection="1">
      <alignment horizontal="center"/>
      <protection locked="0"/>
    </xf>
    <xf numFmtId="0" fontId="5" fillId="5" borderId="4" xfId="3" applyFont="1" applyFill="1" applyBorder="1" applyAlignment="1" applyProtection="1">
      <alignment horizontal="center"/>
      <protection locked="0"/>
    </xf>
    <xf numFmtId="0" fontId="7" fillId="5" borderId="2" xfId="3" applyFont="1" applyFill="1" applyBorder="1" applyAlignment="1" applyProtection="1">
      <alignment horizontal="center"/>
      <protection locked="0"/>
    </xf>
    <xf numFmtId="0" fontId="7" fillId="5" borderId="3" xfId="3" applyFont="1" applyFill="1" applyBorder="1" applyAlignment="1" applyProtection="1">
      <alignment horizontal="center"/>
      <protection locked="0"/>
    </xf>
    <xf numFmtId="0" fontId="7" fillId="5" borderId="4" xfId="3" applyFont="1" applyFill="1" applyBorder="1" applyAlignment="1" applyProtection="1">
      <alignment horizontal="center"/>
      <protection locked="0"/>
    </xf>
    <xf numFmtId="0" fontId="2" fillId="0" borderId="3" xfId="3" applyBorder="1" applyAlignment="1" applyProtection="1">
      <alignment horizontal="center"/>
      <protection locked="0"/>
    </xf>
    <xf numFmtId="0" fontId="2" fillId="0" borderId="4" xfId="3" applyBorder="1" applyAlignment="1" applyProtection="1">
      <alignment horizontal="center"/>
      <protection locked="0"/>
    </xf>
    <xf numFmtId="0" fontId="2" fillId="2" borderId="0" xfId="3" applyFill="1"/>
    <xf numFmtId="0" fontId="4" fillId="0" borderId="23" xfId="3" applyFont="1" applyBorder="1" applyAlignment="1">
      <alignment horizontal="center"/>
    </xf>
    <xf numFmtId="0" fontId="4" fillId="0" borderId="24" xfId="3" applyFont="1" applyBorder="1" applyAlignment="1">
      <alignment horizontal="center"/>
    </xf>
    <xf numFmtId="0" fontId="7" fillId="5" borderId="18" xfId="3" applyFont="1" applyFill="1" applyBorder="1" applyAlignment="1" applyProtection="1">
      <alignment horizontal="center" vertical="center" wrapText="1"/>
      <protection locked="0"/>
    </xf>
    <xf numFmtId="0" fontId="7" fillId="0" borderId="2" xfId="3" applyFont="1" applyFill="1" applyBorder="1" applyAlignment="1" applyProtection="1">
      <alignment horizontal="center" wrapText="1"/>
      <protection locked="0"/>
    </xf>
    <xf numFmtId="0" fontId="7" fillId="0" borderId="3" xfId="3" applyFont="1" applyFill="1" applyBorder="1" applyAlignment="1" applyProtection="1">
      <alignment horizontal="center" wrapText="1"/>
      <protection locked="0"/>
    </xf>
    <xf numFmtId="0" fontId="7" fillId="0" borderId="4" xfId="3" applyFont="1" applyFill="1" applyBorder="1" applyAlignment="1" applyProtection="1">
      <alignment horizontal="center" wrapText="1"/>
      <protection locked="0"/>
    </xf>
    <xf numFmtId="0" fontId="7" fillId="5" borderId="14" xfId="3" applyFont="1" applyFill="1" applyBorder="1" applyAlignment="1" applyProtection="1">
      <alignment horizontal="center" vertical="center" wrapText="1"/>
      <protection locked="0"/>
    </xf>
    <xf numFmtId="0" fontId="7" fillId="5" borderId="15" xfId="3" applyFont="1" applyFill="1" applyBorder="1" applyAlignment="1" applyProtection="1">
      <alignment horizontal="center" vertical="center" wrapText="1"/>
      <protection locked="0"/>
    </xf>
    <xf numFmtId="0" fontId="2" fillId="0" borderId="14" xfId="3" applyBorder="1" applyAlignment="1" applyProtection="1">
      <alignment horizontal="center"/>
      <protection locked="0"/>
    </xf>
    <xf numFmtId="0" fontId="2" fillId="0" borderId="15" xfId="3" applyBorder="1" applyAlignment="1" applyProtection="1">
      <alignment horizontal="center"/>
      <protection locked="0"/>
    </xf>
    <xf numFmtId="0" fontId="2" fillId="0" borderId="16" xfId="3" applyBorder="1" applyAlignment="1" applyProtection="1">
      <alignment horizontal="center"/>
      <protection locked="0"/>
    </xf>
    <xf numFmtId="0" fontId="2" fillId="18" borderId="0" xfId="3" applyFill="1" applyProtection="1">
      <protection locked="0"/>
    </xf>
    <xf numFmtId="0" fontId="7" fillId="18" borderId="3" xfId="3" applyFont="1" applyFill="1" applyBorder="1" applyAlignment="1" applyProtection="1">
      <alignment wrapText="1"/>
      <protection locked="0"/>
    </xf>
    <xf numFmtId="0" fontId="7" fillId="5" borderId="2" xfId="3" applyFont="1" applyFill="1" applyBorder="1" applyAlignment="1" applyProtection="1">
      <alignment horizontal="center" wrapText="1"/>
      <protection locked="0"/>
    </xf>
    <xf numFmtId="0" fontId="7" fillId="5" borderId="3" xfId="3" applyFont="1" applyFill="1" applyBorder="1" applyAlignment="1" applyProtection="1">
      <alignment horizontal="center" wrapText="1"/>
      <protection locked="0"/>
    </xf>
    <xf numFmtId="0" fontId="7" fillId="5" borderId="4" xfId="3" applyFont="1" applyFill="1" applyBorder="1" applyAlignment="1" applyProtection="1">
      <alignment horizontal="center" wrapText="1"/>
      <protection locked="0"/>
    </xf>
    <xf numFmtId="0" fontId="2" fillId="0" borderId="2" xfId="3" applyBorder="1" applyAlignment="1" applyProtection="1">
      <alignment horizontal="center" vertical="center" wrapText="1"/>
      <protection locked="0"/>
    </xf>
    <xf numFmtId="2" fontId="2" fillId="0" borderId="29" xfId="3" applyNumberFormat="1" applyBorder="1" applyAlignment="1">
      <alignment horizontal="center"/>
    </xf>
    <xf numFmtId="2" fontId="2" fillId="0" borderId="31" xfId="3" applyNumberFormat="1" applyBorder="1" applyAlignment="1">
      <alignment horizontal="center"/>
    </xf>
    <xf numFmtId="0" fontId="4" fillId="5" borderId="2" xfId="3" applyFont="1" applyFill="1" applyBorder="1" applyAlignment="1" applyProtection="1">
      <alignment horizontal="center" vertical="center"/>
      <protection locked="0"/>
    </xf>
    <xf numFmtId="0" fontId="4" fillId="5" borderId="3" xfId="3" applyFont="1" applyFill="1" applyBorder="1" applyAlignment="1" applyProtection="1">
      <alignment horizontal="center" vertical="center"/>
      <protection locked="0"/>
    </xf>
    <xf numFmtId="0" fontId="4" fillId="5" borderId="4" xfId="3" applyFont="1" applyFill="1" applyBorder="1" applyAlignment="1" applyProtection="1">
      <alignment horizontal="center" vertical="center"/>
      <protection locked="0"/>
    </xf>
    <xf numFmtId="0" fontId="4" fillId="0" borderId="2" xfId="3" applyFont="1" applyFill="1" applyBorder="1" applyAlignment="1" applyProtection="1">
      <alignment horizontal="center" vertical="center"/>
      <protection locked="0"/>
    </xf>
    <xf numFmtId="0" fontId="4" fillId="0" borderId="3" xfId="3" applyFont="1" applyFill="1" applyBorder="1" applyAlignment="1" applyProtection="1">
      <alignment horizontal="center" vertical="center"/>
      <protection locked="0"/>
    </xf>
    <xf numFmtId="0" fontId="4" fillId="0" borderId="4" xfId="3" applyFont="1" applyFill="1" applyBorder="1" applyAlignment="1" applyProtection="1">
      <alignment horizontal="center" vertical="center"/>
      <protection locked="0"/>
    </xf>
    <xf numFmtId="0" fontId="2" fillId="0" borderId="2" xfId="3" applyBorder="1" applyAlignment="1" applyProtection="1">
      <alignment horizontal="center"/>
      <protection locked="0"/>
    </xf>
    <xf numFmtId="2" fontId="2" fillId="0" borderId="17" xfId="3" applyNumberFormat="1" applyBorder="1" applyAlignment="1">
      <alignment horizontal="center"/>
    </xf>
    <xf numFmtId="0" fontId="2" fillId="0" borderId="42" xfId="3" applyBorder="1" applyAlignment="1">
      <alignment horizontal="center" vertical="center"/>
    </xf>
    <xf numFmtId="10" fontId="2" fillId="0" borderId="9" xfId="3" applyNumberFormat="1" applyBorder="1" applyAlignment="1">
      <alignment horizontal="center" vertical="center"/>
    </xf>
    <xf numFmtId="10" fontId="2" fillId="0" borderId="10" xfId="3" applyNumberFormat="1" applyBorder="1" applyAlignment="1">
      <alignment horizontal="center" vertical="center"/>
    </xf>
    <xf numFmtId="164" fontId="2" fillId="0" borderId="9" xfId="3" applyNumberFormat="1" applyBorder="1" applyAlignment="1" applyProtection="1">
      <alignment horizontal="center" vertical="center"/>
    </xf>
    <xf numFmtId="164" fontId="2" fillId="0" borderId="10" xfId="3" applyNumberFormat="1" applyBorder="1" applyAlignment="1" applyProtection="1">
      <alignment horizontal="center" vertical="center"/>
    </xf>
    <xf numFmtId="164" fontId="2" fillId="0" borderId="11" xfId="3" applyNumberFormat="1" applyBorder="1" applyAlignment="1" applyProtection="1">
      <alignment horizontal="center" vertical="center"/>
    </xf>
    <xf numFmtId="0" fontId="2" fillId="0" borderId="45" xfId="3" applyBorder="1" applyAlignment="1">
      <alignment horizontal="center" vertical="center"/>
    </xf>
    <xf numFmtId="10" fontId="2" fillId="0" borderId="14" xfId="3" applyNumberFormat="1" applyBorder="1" applyAlignment="1">
      <alignment horizontal="center" vertical="center"/>
    </xf>
    <xf numFmtId="10" fontId="2" fillId="0" borderId="15" xfId="3" applyNumberFormat="1" applyBorder="1" applyAlignment="1">
      <alignment horizontal="center" vertical="center"/>
    </xf>
    <xf numFmtId="164" fontId="2" fillId="0" borderId="14" xfId="3" applyNumberFormat="1" applyBorder="1" applyAlignment="1" applyProtection="1">
      <alignment horizontal="center" vertical="center"/>
    </xf>
    <xf numFmtId="164" fontId="2" fillId="0" borderId="15" xfId="3" applyNumberFormat="1" applyBorder="1" applyAlignment="1" applyProtection="1">
      <alignment horizontal="center" vertical="center"/>
    </xf>
    <xf numFmtId="164" fontId="2" fillId="0" borderId="16" xfId="3" applyNumberFormat="1" applyBorder="1" applyAlignment="1" applyProtection="1">
      <alignment horizontal="center" vertical="center"/>
    </xf>
    <xf numFmtId="0" fontId="2" fillId="7" borderId="17" xfId="3" applyFont="1" applyFill="1" applyBorder="1" applyAlignment="1" applyProtection="1">
      <alignment horizontal="center"/>
      <protection locked="0"/>
    </xf>
    <xf numFmtId="0" fontId="2" fillId="7" borderId="1" xfId="3" applyFill="1" applyBorder="1" applyAlignment="1" applyProtection="1">
      <alignment horizontal="center"/>
      <protection locked="0"/>
    </xf>
    <xf numFmtId="0" fontId="2" fillId="7" borderId="31" xfId="3" applyFill="1" applyBorder="1" applyAlignment="1" applyProtection="1">
      <alignment horizontal="center"/>
      <protection locked="0"/>
    </xf>
    <xf numFmtId="2" fontId="2" fillId="7" borderId="17" xfId="3" applyNumberFormat="1" applyFill="1" applyBorder="1" applyAlignment="1">
      <alignment horizontal="center"/>
    </xf>
    <xf numFmtId="2" fontId="2" fillId="7" borderId="31" xfId="3" applyNumberFormat="1" applyFill="1" applyBorder="1" applyAlignment="1">
      <alignment horizontal="center"/>
    </xf>
    <xf numFmtId="0" fontId="2" fillId="2" borderId="68" xfId="3" applyFill="1" applyBorder="1" applyAlignment="1" applyProtection="1">
      <alignment horizontal="center" vertical="center" textRotation="90"/>
      <protection locked="0"/>
    </xf>
    <xf numFmtId="0" fontId="2" fillId="2" borderId="69" xfId="3" applyFill="1" applyBorder="1" applyAlignment="1" applyProtection="1">
      <alignment horizontal="center" vertical="center" textRotation="90"/>
      <protection locked="0"/>
    </xf>
    <xf numFmtId="0" fontId="2" fillId="5" borderId="19" xfId="3" applyFill="1" applyBorder="1"/>
    <xf numFmtId="0" fontId="2" fillId="5" borderId="1" xfId="3" applyFill="1" applyBorder="1" applyAlignment="1">
      <alignment horizontal="center"/>
    </xf>
    <xf numFmtId="0" fontId="2" fillId="5" borderId="19" xfId="3" applyFill="1" applyBorder="1" applyAlignment="1">
      <alignment horizontal="left"/>
    </xf>
    <xf numFmtId="0" fontId="2" fillId="0" borderId="1" xfId="3" applyBorder="1" applyAlignment="1">
      <alignment horizontal="center"/>
    </xf>
    <xf numFmtId="0" fontId="2" fillId="0" borderId="19" xfId="3" applyBorder="1" applyAlignment="1">
      <alignment horizontal="center"/>
    </xf>
    <xf numFmtId="0" fontId="2" fillId="2" borderId="26" xfId="3" applyFill="1" applyBorder="1" applyAlignment="1" applyProtection="1">
      <alignment horizontal="center" vertical="center" textRotation="90"/>
      <protection locked="0"/>
    </xf>
    <xf numFmtId="0" fontId="2" fillId="5" borderId="68" xfId="3" applyFill="1" applyBorder="1" applyAlignment="1" applyProtection="1">
      <alignment horizontal="center" vertical="center" textRotation="90"/>
      <protection locked="0"/>
    </xf>
    <xf numFmtId="0" fontId="2" fillId="5" borderId="69" xfId="3" applyFill="1" applyBorder="1" applyAlignment="1" applyProtection="1">
      <alignment horizontal="center" vertical="center" textRotation="90"/>
      <protection locked="0"/>
    </xf>
    <xf numFmtId="0" fontId="2" fillId="5" borderId="26" xfId="3" applyFill="1" applyBorder="1" applyAlignment="1" applyProtection="1">
      <alignment horizontal="center" vertical="center" textRotation="90"/>
      <protection locked="0"/>
    </xf>
    <xf numFmtId="0" fontId="2" fillId="5" borderId="2" xfId="3" applyFill="1" applyBorder="1" applyAlignment="1">
      <alignment horizontal="center"/>
    </xf>
    <xf numFmtId="0" fontId="2" fillId="5" borderId="3" xfId="3" applyFill="1" applyBorder="1" applyAlignment="1">
      <alignment horizontal="center"/>
    </xf>
    <xf numFmtId="0" fontId="2" fillId="5" borderId="4" xfId="3" applyFill="1" applyBorder="1" applyAlignment="1">
      <alignment horizontal="center"/>
    </xf>
    <xf numFmtId="0" fontId="15" fillId="0" borderId="38" xfId="3" applyFont="1" applyFill="1" applyBorder="1" applyAlignment="1">
      <alignment horizontal="center" shrinkToFit="1"/>
    </xf>
    <xf numFmtId="0" fontId="15" fillId="0" borderId="37" xfId="3" applyFont="1" applyFill="1" applyBorder="1" applyAlignment="1">
      <alignment horizontal="center" shrinkToFit="1"/>
    </xf>
    <xf numFmtId="0" fontId="15" fillId="0" borderId="37" xfId="3" applyFont="1" applyFill="1" applyBorder="1" applyAlignment="1">
      <alignment horizontal="center"/>
    </xf>
    <xf numFmtId="0" fontId="15" fillId="0" borderId="36" xfId="3" applyFont="1" applyFill="1" applyBorder="1" applyAlignment="1">
      <alignment horizontal="center"/>
    </xf>
    <xf numFmtId="0" fontId="6" fillId="0" borderId="0" xfId="3" applyFont="1" applyAlignment="1">
      <alignment horizontal="center"/>
    </xf>
    <xf numFmtId="0" fontId="2" fillId="0" borderId="0" xfId="3" applyFont="1" applyAlignment="1">
      <alignment horizontal="left"/>
    </xf>
    <xf numFmtId="0" fontId="7" fillId="0" borderId="0" xfId="3" applyFont="1" applyAlignment="1" applyProtection="1">
      <alignment horizontal="left" wrapText="1"/>
      <protection locked="0"/>
    </xf>
    <xf numFmtId="0" fontId="7" fillId="0" borderId="0" xfId="3" applyFont="1" applyAlignment="1" applyProtection="1">
      <alignment horizontal="left"/>
      <protection locked="0"/>
    </xf>
    <xf numFmtId="0" fontId="2" fillId="0" borderId="0" xfId="3" applyFill="1" applyAlignment="1" applyProtection="1">
      <alignment horizontal="left"/>
      <protection locked="0"/>
    </xf>
    <xf numFmtId="0" fontId="4" fillId="23" borderId="0" xfId="3" applyFont="1" applyFill="1" applyAlignment="1">
      <alignment horizontal="center"/>
    </xf>
    <xf numFmtId="0" fontId="11" fillId="0" borderId="0" xfId="3" applyFont="1"/>
    <xf numFmtId="0" fontId="2" fillId="0" borderId="15" xfId="3" applyBorder="1" applyAlignment="1">
      <alignment horizontal="center" shrinkToFit="1"/>
    </xf>
    <xf numFmtId="0" fontId="2" fillId="0" borderId="0" xfId="3" applyBorder="1" applyAlignment="1">
      <alignment horizontal="center"/>
    </xf>
    <xf numFmtId="0" fontId="11" fillId="0" borderId="10" xfId="3" applyFont="1" applyBorder="1" applyAlignment="1" applyProtection="1">
      <alignment horizontal="center" shrinkToFit="1"/>
      <protection locked="0"/>
    </xf>
    <xf numFmtId="0" fontId="2" fillId="0" borderId="12" xfId="3" applyBorder="1"/>
    <xf numFmtId="0" fontId="11" fillId="0" borderId="0" xfId="3" applyFont="1" applyBorder="1" applyAlignment="1" applyProtection="1">
      <alignment horizontal="center"/>
      <protection locked="0"/>
    </xf>
    <xf numFmtId="0" fontId="2" fillId="0" borderId="13" xfId="3" applyBorder="1"/>
    <xf numFmtId="0" fontId="11" fillId="0" borderId="0" xfId="3" applyFont="1" applyBorder="1" applyAlignment="1" applyProtection="1">
      <alignment horizontal="center" shrinkToFit="1"/>
      <protection locked="0"/>
    </xf>
    <xf numFmtId="0" fontId="11" fillId="0" borderId="13" xfId="3" applyFont="1" applyBorder="1" applyAlignment="1" applyProtection="1">
      <alignment horizontal="center" shrinkToFit="1"/>
      <protection locked="0"/>
    </xf>
    <xf numFmtId="0" fontId="2" fillId="0" borderId="12" xfId="3" applyBorder="1" applyAlignment="1">
      <alignment horizontal="left" shrinkToFit="1"/>
    </xf>
    <xf numFmtId="0" fontId="2" fillId="0" borderId="0" xfId="3" applyBorder="1" applyAlignment="1">
      <alignment horizontal="left" shrinkToFit="1"/>
    </xf>
    <xf numFmtId="0" fontId="2" fillId="0" borderId="0" xfId="3" applyBorder="1" applyAlignment="1" applyProtection="1">
      <protection locked="0"/>
    </xf>
    <xf numFmtId="0" fontId="2" fillId="0" borderId="0" xfId="3" applyBorder="1" applyAlignment="1" applyProtection="1">
      <alignment horizontal="center"/>
      <protection locked="0"/>
    </xf>
    <xf numFmtId="0" fontId="15" fillId="0" borderId="0" xfId="3" applyFont="1" applyBorder="1" applyAlignment="1" applyProtection="1">
      <alignment horizontal="center"/>
      <protection locked="0"/>
    </xf>
    <xf numFmtId="0" fontId="2" fillId="0" borderId="9" xfId="3" applyBorder="1" applyAlignment="1" applyProtection="1">
      <alignment horizontal="left"/>
      <protection locked="0"/>
    </xf>
    <xf numFmtId="0" fontId="2" fillId="0" borderId="10" xfId="3" applyBorder="1" applyAlignment="1" applyProtection="1">
      <alignment horizontal="left"/>
      <protection locked="0"/>
    </xf>
    <xf numFmtId="0" fontId="2" fillId="0" borderId="11" xfId="3" applyBorder="1" applyAlignment="1" applyProtection="1">
      <alignment horizontal="left"/>
      <protection locked="0"/>
    </xf>
    <xf numFmtId="0" fontId="2" fillId="0" borderId="12" xfId="3" applyBorder="1" applyAlignment="1" applyProtection="1">
      <alignment horizontal="left"/>
      <protection locked="0"/>
    </xf>
    <xf numFmtId="0" fontId="2" fillId="0" borderId="0" xfId="3" applyBorder="1" applyAlignment="1" applyProtection="1">
      <alignment horizontal="left"/>
      <protection locked="0"/>
    </xf>
    <xf numFmtId="0" fontId="2" fillId="0" borderId="0" xfId="3" applyBorder="1" applyProtection="1">
      <protection locked="0"/>
    </xf>
    <xf numFmtId="0" fontId="15" fillId="0" borderId="0" xfId="3" applyFont="1" applyBorder="1" applyAlignment="1" applyProtection="1">
      <protection locked="0"/>
    </xf>
    <xf numFmtId="0" fontId="15" fillId="0" borderId="0" xfId="3" applyFont="1" applyBorder="1" applyAlignment="1">
      <alignment horizontal="center"/>
    </xf>
    <xf numFmtId="0" fontId="2" fillId="0" borderId="16" xfId="3" applyBorder="1" applyAlignment="1">
      <alignment horizontal="center" shrinkToFit="1"/>
    </xf>
    <xf numFmtId="0" fontId="2" fillId="0" borderId="13" xfId="3" applyBorder="1" applyAlignment="1" applyProtection="1">
      <alignment horizontal="center"/>
      <protection locked="0"/>
    </xf>
    <xf numFmtId="0" fontId="2" fillId="0" borderId="14" xfId="3" applyBorder="1" applyAlignment="1" applyProtection="1">
      <alignment horizontal="center" shrinkToFit="1"/>
    </xf>
    <xf numFmtId="0" fontId="2" fillId="0" borderId="15" xfId="3" applyBorder="1" applyAlignment="1" applyProtection="1">
      <alignment horizontal="center" shrinkToFit="1"/>
    </xf>
    <xf numFmtId="0" fontId="2" fillId="0" borderId="12" xfId="3" applyBorder="1" applyAlignment="1" applyProtection="1">
      <alignment horizontal="center"/>
      <protection locked="0"/>
    </xf>
    <xf numFmtId="0" fontId="15" fillId="0" borderId="13" xfId="3" applyFont="1" applyBorder="1" applyAlignment="1" applyProtection="1">
      <alignment horizontal="center"/>
      <protection locked="0"/>
    </xf>
    <xf numFmtId="0" fontId="2" fillId="0" borderId="9" xfId="3" applyBorder="1" applyAlignment="1" applyProtection="1">
      <alignment horizontal="center"/>
      <protection locked="0"/>
    </xf>
    <xf numFmtId="0" fontId="2" fillId="0" borderId="10" xfId="3" applyBorder="1" applyAlignment="1" applyProtection="1">
      <alignment horizontal="center"/>
      <protection locked="0"/>
    </xf>
    <xf numFmtId="0" fontId="2" fillId="0" borderId="14" xfId="3" applyBorder="1" applyAlignment="1" applyProtection="1">
      <alignment horizontal="left"/>
      <protection locked="0"/>
    </xf>
    <xf numFmtId="0" fontId="2" fillId="0" borderId="15" xfId="3" applyBorder="1" applyAlignment="1" applyProtection="1">
      <alignment horizontal="left"/>
      <protection locked="0"/>
    </xf>
    <xf numFmtId="0" fontId="2" fillId="0" borderId="16" xfId="3" applyBorder="1" applyAlignment="1" applyProtection="1">
      <alignment horizontal="left"/>
      <protection locked="0"/>
    </xf>
    <xf numFmtId="0" fontId="6" fillId="0" borderId="0" xfId="3" applyFont="1" applyAlignment="1" applyProtection="1">
      <alignment horizontal="center"/>
      <protection locked="0"/>
    </xf>
    <xf numFmtId="0" fontId="6" fillId="0" borderId="0" xfId="3" applyFont="1" applyAlignment="1" applyProtection="1">
      <alignment horizontal="center"/>
      <protection locked="0"/>
    </xf>
    <xf numFmtId="0" fontId="6" fillId="0" borderId="0" xfId="3" applyFont="1" applyAlignment="1">
      <alignment horizontal="center"/>
    </xf>
    <xf numFmtId="0" fontId="2" fillId="0" borderId="18" xfId="3" applyBorder="1" applyAlignment="1">
      <alignment horizontal="center"/>
    </xf>
    <xf numFmtId="0" fontId="2" fillId="3" borderId="2" xfId="3" applyFill="1" applyBorder="1" applyAlignment="1">
      <alignment horizontal="center"/>
    </xf>
    <xf numFmtId="0" fontId="2" fillId="3" borderId="3" xfId="3" applyFill="1" applyBorder="1" applyAlignment="1">
      <alignment horizontal="center"/>
    </xf>
    <xf numFmtId="0" fontId="2" fillId="3" borderId="4" xfId="3" applyFill="1" applyBorder="1" applyAlignment="1">
      <alignment horizontal="center"/>
    </xf>
    <xf numFmtId="0" fontId="2" fillId="12" borderId="2" xfId="3" applyFill="1" applyBorder="1" applyAlignment="1">
      <alignment horizontal="center"/>
    </xf>
    <xf numFmtId="0" fontId="2" fillId="12" borderId="3" xfId="3" applyFill="1" applyBorder="1" applyAlignment="1">
      <alignment horizontal="center"/>
    </xf>
    <xf numFmtId="0" fontId="2" fillId="12" borderId="4" xfId="3" applyFill="1" applyBorder="1" applyAlignment="1">
      <alignment horizontal="center"/>
    </xf>
    <xf numFmtId="0" fontId="2" fillId="0" borderId="2" xfId="3" applyBorder="1" applyAlignment="1">
      <alignment horizontal="center"/>
    </xf>
    <xf numFmtId="0" fontId="2" fillId="0" borderId="3" xfId="3" applyBorder="1" applyAlignment="1">
      <alignment horizontal="center"/>
    </xf>
    <xf numFmtId="0" fontId="2" fillId="0" borderId="4" xfId="3" applyBorder="1" applyAlignment="1">
      <alignment horizontal="center"/>
    </xf>
    <xf numFmtId="0" fontId="2" fillId="0" borderId="2" xfId="3" applyBorder="1" applyAlignment="1" applyProtection="1">
      <alignment horizontal="center" shrinkToFit="1"/>
    </xf>
    <xf numFmtId="0" fontId="2" fillId="0" borderId="3" xfId="3" applyBorder="1" applyAlignment="1" applyProtection="1">
      <alignment horizontal="center" shrinkToFit="1"/>
    </xf>
    <xf numFmtId="0" fontId="2" fillId="0" borderId="4" xfId="3" applyBorder="1" applyAlignment="1" applyProtection="1">
      <alignment horizontal="center" shrinkToFit="1"/>
    </xf>
    <xf numFmtId="0" fontId="2" fillId="0" borderId="2" xfId="3" applyBorder="1" applyAlignment="1" applyProtection="1">
      <alignment horizontal="center"/>
    </xf>
    <xf numFmtId="0" fontId="2" fillId="0" borderId="3" xfId="3" applyBorder="1" applyAlignment="1" applyProtection="1">
      <alignment horizontal="center"/>
    </xf>
    <xf numFmtId="0" fontId="2" fillId="0" borderId="4" xfId="3" applyBorder="1" applyAlignment="1" applyProtection="1">
      <alignment horizontal="center"/>
    </xf>
    <xf numFmtId="20" fontId="2" fillId="0" borderId="46" xfId="3" applyNumberFormat="1" applyFill="1" applyBorder="1" applyAlignment="1" applyProtection="1">
      <alignment horizontal="center"/>
      <protection locked="0"/>
    </xf>
    <xf numFmtId="0" fontId="2" fillId="0" borderId="47" xfId="3" applyFill="1" applyBorder="1" applyAlignment="1" applyProtection="1">
      <alignment horizontal="center"/>
      <protection locked="0"/>
    </xf>
    <xf numFmtId="0" fontId="2" fillId="0" borderId="48" xfId="3" applyFill="1" applyBorder="1" applyAlignment="1" applyProtection="1">
      <alignment horizontal="center"/>
      <protection locked="0"/>
    </xf>
    <xf numFmtId="20" fontId="2" fillId="0" borderId="49" xfId="3" applyNumberFormat="1" applyFill="1" applyBorder="1" applyAlignment="1" applyProtection="1">
      <alignment horizontal="center"/>
      <protection locked="0"/>
    </xf>
    <xf numFmtId="0" fontId="2" fillId="0" borderId="50" xfId="3" applyFill="1" applyBorder="1" applyAlignment="1" applyProtection="1">
      <alignment horizontal="center"/>
      <protection locked="0"/>
    </xf>
    <xf numFmtId="0" fontId="43" fillId="16" borderId="9" xfId="3" applyFont="1" applyFill="1" applyBorder="1" applyAlignment="1" applyProtection="1">
      <alignment horizontal="center" vertical="center" wrapText="1"/>
    </xf>
    <xf numFmtId="0" fontId="2" fillId="16" borderId="10" xfId="3" applyFill="1" applyBorder="1" applyAlignment="1" applyProtection="1">
      <alignment vertical="center"/>
    </xf>
    <xf numFmtId="0" fontId="2" fillId="16" borderId="11" xfId="3" applyFill="1" applyBorder="1" applyAlignment="1" applyProtection="1">
      <alignment vertical="center"/>
    </xf>
    <xf numFmtId="0" fontId="2" fillId="0" borderId="0" xfId="3" applyFill="1" applyBorder="1"/>
    <xf numFmtId="0" fontId="43" fillId="16" borderId="10" xfId="3" applyFont="1" applyFill="1" applyBorder="1" applyAlignment="1" applyProtection="1">
      <alignment horizontal="center" vertical="center" wrapText="1"/>
    </xf>
    <xf numFmtId="0" fontId="43" fillId="16" borderId="11" xfId="3" applyFont="1" applyFill="1" applyBorder="1" applyAlignment="1" applyProtection="1">
      <alignment horizontal="center" vertical="center" wrapText="1"/>
    </xf>
    <xf numFmtId="1" fontId="2" fillId="0" borderId="70" xfId="3" applyNumberFormat="1" applyFill="1" applyBorder="1" applyAlignment="1" applyProtection="1">
      <alignment horizontal="center"/>
      <protection locked="0"/>
    </xf>
    <xf numFmtId="1" fontId="2" fillId="0" borderId="6" xfId="3" applyNumberFormat="1" applyFill="1" applyBorder="1" applyAlignment="1" applyProtection="1">
      <alignment horizontal="center"/>
      <protection locked="0"/>
    </xf>
    <xf numFmtId="1" fontId="2" fillId="0" borderId="19" xfId="3" applyNumberFormat="1" applyFill="1" applyBorder="1" applyAlignment="1" applyProtection="1">
      <alignment horizontal="center"/>
      <protection locked="0"/>
    </xf>
    <xf numFmtId="1" fontId="2" fillId="0" borderId="5" xfId="3" applyNumberFormat="1" applyFill="1" applyBorder="1" applyAlignment="1" applyProtection="1">
      <alignment horizontal="center"/>
      <protection locked="0"/>
    </xf>
    <xf numFmtId="1" fontId="2" fillId="0" borderId="71" xfId="3" applyNumberFormat="1" applyFill="1" applyBorder="1" applyAlignment="1" applyProtection="1">
      <alignment horizontal="center"/>
      <protection locked="0"/>
    </xf>
    <xf numFmtId="0" fontId="2" fillId="16" borderId="12" xfId="3" applyFill="1" applyBorder="1" applyAlignment="1" applyProtection="1">
      <alignment vertical="center"/>
    </xf>
    <xf numFmtId="0" fontId="2" fillId="16" borderId="0" xfId="3" applyFill="1" applyAlignment="1" applyProtection="1">
      <alignment vertical="center"/>
    </xf>
    <xf numFmtId="0" fontId="2" fillId="16" borderId="13" xfId="3" applyFill="1" applyBorder="1" applyAlignment="1" applyProtection="1">
      <alignment vertical="center"/>
    </xf>
    <xf numFmtId="0" fontId="11" fillId="0" borderId="0" xfId="3" applyFont="1" applyAlignment="1">
      <alignment horizontal="center"/>
    </xf>
    <xf numFmtId="0" fontId="11" fillId="0" borderId="13" xfId="3" applyFont="1" applyBorder="1" applyAlignment="1">
      <alignment horizontal="center"/>
    </xf>
    <xf numFmtId="0" fontId="43" fillId="16" borderId="12" xfId="3" applyFont="1" applyFill="1" applyBorder="1" applyAlignment="1" applyProtection="1">
      <alignment horizontal="center" vertical="center" wrapText="1"/>
    </xf>
    <xf numFmtId="0" fontId="43" fillId="16" borderId="0" xfId="3" applyFont="1" applyFill="1" applyBorder="1" applyAlignment="1" applyProtection="1">
      <alignment horizontal="center" vertical="center" wrapText="1"/>
    </xf>
    <xf numFmtId="0" fontId="43" fillId="16" borderId="13" xfId="3" applyFont="1" applyFill="1" applyBorder="1" applyAlignment="1" applyProtection="1">
      <alignment horizontal="center" vertical="center" wrapText="1"/>
    </xf>
    <xf numFmtId="0" fontId="4" fillId="8" borderId="70" xfId="3" applyFont="1" applyFill="1" applyBorder="1" applyAlignment="1">
      <alignment horizontal="center"/>
    </xf>
    <xf numFmtId="0" fontId="4" fillId="8" borderId="71" xfId="3" applyFont="1" applyFill="1" applyBorder="1" applyAlignment="1">
      <alignment horizontal="center"/>
    </xf>
    <xf numFmtId="0" fontId="2" fillId="16" borderId="14" xfId="3" applyFill="1" applyBorder="1" applyAlignment="1" applyProtection="1">
      <alignment vertical="center"/>
    </xf>
    <xf numFmtId="0" fontId="2" fillId="16" borderId="15" xfId="3" applyFill="1" applyBorder="1" applyAlignment="1" applyProtection="1">
      <alignment vertical="center"/>
    </xf>
    <xf numFmtId="0" fontId="2" fillId="16" borderId="16" xfId="3" applyFill="1" applyBorder="1" applyAlignment="1" applyProtection="1">
      <alignment vertical="center"/>
    </xf>
    <xf numFmtId="0" fontId="2" fillId="2" borderId="0" xfId="3" applyFill="1" applyBorder="1" applyAlignment="1">
      <alignment horizontal="center"/>
    </xf>
    <xf numFmtId="0" fontId="2" fillId="2" borderId="13" xfId="3" applyFill="1" applyBorder="1" applyAlignment="1">
      <alignment horizontal="center"/>
    </xf>
    <xf numFmtId="0" fontId="43" fillId="16" borderId="14" xfId="3" applyFont="1" applyFill="1" applyBorder="1" applyAlignment="1" applyProtection="1">
      <alignment horizontal="center" vertical="center" wrapText="1"/>
    </xf>
    <xf numFmtId="0" fontId="43" fillId="16" borderId="15" xfId="3" applyFont="1" applyFill="1" applyBorder="1" applyAlignment="1" applyProtection="1">
      <alignment horizontal="center" vertical="center" wrapText="1"/>
    </xf>
    <xf numFmtId="0" fontId="43" fillId="16" borderId="16" xfId="3" applyFont="1" applyFill="1" applyBorder="1" applyAlignment="1" applyProtection="1">
      <alignment horizontal="center" vertical="center" wrapText="1"/>
    </xf>
    <xf numFmtId="0" fontId="4" fillId="5" borderId="17" xfId="3" applyFont="1" applyFill="1" applyBorder="1" applyAlignment="1" applyProtection="1">
      <alignment horizontal="right"/>
      <protection locked="0"/>
    </xf>
    <xf numFmtId="0" fontId="4" fillId="2" borderId="1" xfId="3" applyFont="1" applyFill="1" applyBorder="1" applyAlignment="1">
      <alignment horizontal="center"/>
    </xf>
    <xf numFmtId="0" fontId="4" fillId="5" borderId="1" xfId="3" applyFont="1" applyFill="1" applyBorder="1" applyAlignment="1" applyProtection="1">
      <alignment horizontal="left"/>
      <protection locked="0"/>
    </xf>
    <xf numFmtId="0" fontId="4" fillId="5" borderId="1" xfId="3" applyFont="1" applyFill="1" applyBorder="1" applyProtection="1">
      <protection locked="0"/>
    </xf>
    <xf numFmtId="0" fontId="4" fillId="5" borderId="1" xfId="3" applyFont="1" applyFill="1" applyBorder="1" applyProtection="1"/>
    <xf numFmtId="0" fontId="4" fillId="2" borderId="1" xfId="3" applyFont="1" applyFill="1" applyBorder="1" applyAlignment="1" applyProtection="1">
      <alignment horizontal="center"/>
    </xf>
    <xf numFmtId="0" fontId="4" fillId="5" borderId="31" xfId="3" applyFont="1" applyFill="1" applyBorder="1" applyAlignment="1" applyProtection="1">
      <alignment horizontal="left"/>
    </xf>
    <xf numFmtId="0" fontId="4" fillId="0" borderId="2" xfId="3" applyFont="1" applyFill="1" applyBorder="1" applyAlignment="1">
      <alignment horizontal="center"/>
    </xf>
    <xf numFmtId="0" fontId="4" fillId="0" borderId="3" xfId="3" applyFont="1" applyFill="1" applyBorder="1" applyAlignment="1">
      <alignment horizontal="center"/>
    </xf>
    <xf numFmtId="0" fontId="4" fillId="0" borderId="4" xfId="3" applyFont="1" applyFill="1" applyBorder="1" applyAlignment="1">
      <alignment horizontal="center"/>
    </xf>
    <xf numFmtId="0" fontId="4" fillId="5" borderId="70" xfId="3" applyFont="1" applyFill="1" applyBorder="1" applyAlignment="1" applyProtection="1">
      <alignment horizontal="right"/>
      <protection locked="0"/>
    </xf>
    <xf numFmtId="0" fontId="4" fillId="2" borderId="6" xfId="3" applyFont="1" applyFill="1" applyBorder="1" applyAlignment="1">
      <alignment horizontal="center"/>
    </xf>
    <xf numFmtId="0" fontId="4" fillId="5" borderId="6" xfId="3" applyFont="1" applyFill="1" applyBorder="1" applyAlignment="1" applyProtection="1">
      <alignment horizontal="left"/>
      <protection locked="0"/>
    </xf>
    <xf numFmtId="0" fontId="4" fillId="0" borderId="9" xfId="3" applyFont="1" applyFill="1" applyBorder="1" applyAlignment="1">
      <alignment horizontal="center"/>
    </xf>
    <xf numFmtId="0" fontId="4" fillId="0" borderId="10" xfId="3" applyFont="1" applyFill="1" applyBorder="1" applyAlignment="1">
      <alignment horizontal="center"/>
    </xf>
    <xf numFmtId="0" fontId="4" fillId="0" borderId="11" xfId="3" applyFont="1" applyFill="1" applyBorder="1" applyAlignment="1">
      <alignment horizontal="center"/>
    </xf>
    <xf numFmtId="0" fontId="4" fillId="0" borderId="2" xfId="3" applyFont="1" applyFill="1" applyBorder="1" applyAlignment="1">
      <alignment horizontal="center"/>
    </xf>
    <xf numFmtId="0" fontId="4" fillId="0" borderId="4" xfId="3" applyFont="1" applyFill="1" applyBorder="1" applyAlignment="1">
      <alignment horizontal="center"/>
    </xf>
    <xf numFmtId="0" fontId="2" fillId="0" borderId="70" xfId="3" applyFill="1" applyBorder="1" applyProtection="1">
      <protection locked="0"/>
    </xf>
    <xf numFmtId="0" fontId="2" fillId="0" borderId="19" xfId="3" applyFill="1" applyBorder="1" applyAlignment="1" applyProtection="1">
      <alignment horizontal="left"/>
      <protection locked="0"/>
    </xf>
    <xf numFmtId="0" fontId="2" fillId="0" borderId="5" xfId="3" applyFill="1" applyBorder="1" applyProtection="1">
      <protection locked="0"/>
    </xf>
    <xf numFmtId="0" fontId="2" fillId="0" borderId="71" xfId="3" applyFill="1" applyBorder="1" applyAlignment="1" applyProtection="1">
      <alignment horizontal="left"/>
      <protection locked="0"/>
    </xf>
    <xf numFmtId="0" fontId="44" fillId="9" borderId="9" xfId="3" applyFont="1" applyFill="1" applyBorder="1" applyAlignment="1" applyProtection="1">
      <alignment horizontal="center" vertical="center"/>
    </xf>
    <xf numFmtId="0" fontId="44" fillId="9" borderId="10" xfId="3" applyFont="1" applyFill="1" applyBorder="1" applyAlignment="1" applyProtection="1">
      <alignment horizontal="center" vertical="center"/>
    </xf>
    <xf numFmtId="0" fontId="44" fillId="9" borderId="11" xfId="3" applyFont="1" applyFill="1" applyBorder="1" applyAlignment="1" applyProtection="1">
      <alignment horizontal="center" vertical="center"/>
    </xf>
    <xf numFmtId="0" fontId="2" fillId="0" borderId="0" xfId="3" applyFill="1" applyBorder="1" applyAlignment="1"/>
    <xf numFmtId="0" fontId="44" fillId="9" borderId="12" xfId="3" applyFont="1" applyFill="1" applyBorder="1" applyAlignment="1" applyProtection="1">
      <alignment horizontal="center" vertical="center"/>
    </xf>
    <xf numFmtId="0" fontId="44" fillId="9" borderId="0" xfId="3" applyFont="1" applyFill="1" applyBorder="1" applyAlignment="1" applyProtection="1">
      <alignment horizontal="center" vertical="center"/>
    </xf>
    <xf numFmtId="0" fontId="44" fillId="9" borderId="13" xfId="3" applyFont="1" applyFill="1" applyBorder="1" applyAlignment="1" applyProtection="1">
      <alignment horizontal="center" vertical="center"/>
    </xf>
    <xf numFmtId="0" fontId="2" fillId="0" borderId="51" xfId="3" applyFill="1" applyBorder="1" applyProtection="1">
      <protection locked="0"/>
    </xf>
    <xf numFmtId="0" fontId="2" fillId="2" borderId="52" xfId="3" applyFill="1" applyBorder="1" applyAlignment="1">
      <alignment horizontal="center"/>
    </xf>
    <xf numFmtId="0" fontId="2" fillId="0" borderId="53" xfId="3" applyFill="1" applyBorder="1" applyAlignment="1" applyProtection="1">
      <alignment horizontal="left"/>
      <protection locked="0"/>
    </xf>
    <xf numFmtId="0" fontId="2" fillId="0" borderId="35" xfId="3" applyFill="1" applyBorder="1" applyProtection="1">
      <protection locked="0"/>
    </xf>
    <xf numFmtId="0" fontId="2" fillId="0" borderId="72" xfId="3" applyFill="1" applyBorder="1" applyAlignment="1" applyProtection="1">
      <alignment horizontal="left"/>
      <protection locked="0"/>
    </xf>
    <xf numFmtId="0" fontId="44" fillId="9" borderId="14" xfId="3" applyFont="1" applyFill="1" applyBorder="1" applyAlignment="1" applyProtection="1">
      <alignment horizontal="center" vertical="center"/>
    </xf>
    <xf numFmtId="0" fontId="44" fillId="9" borderId="15" xfId="3" applyFont="1" applyFill="1" applyBorder="1" applyAlignment="1" applyProtection="1">
      <alignment horizontal="center" vertical="center"/>
    </xf>
    <xf numFmtId="0" fontId="44" fillId="9" borderId="16" xfId="3" applyFont="1" applyFill="1" applyBorder="1" applyAlignment="1" applyProtection="1">
      <alignment horizontal="center" vertical="center"/>
    </xf>
    <xf numFmtId="0" fontId="2" fillId="0" borderId="0" xfId="3" applyFill="1" applyBorder="1" applyAlignment="1">
      <alignment horizontal="center"/>
    </xf>
    <xf numFmtId="0" fontId="2" fillId="0" borderId="0" xfId="3" applyAlignment="1"/>
    <xf numFmtId="0" fontId="2" fillId="0" borderId="0" xfId="3" applyAlignment="1">
      <alignment horizontal="center"/>
    </xf>
    <xf numFmtId="2" fontId="2" fillId="0" borderId="0" xfId="3" applyNumberFormat="1" applyAlignment="1">
      <alignment horizontal="center"/>
    </xf>
    <xf numFmtId="1" fontId="2" fillId="0" borderId="0" xfId="3" applyNumberFormat="1" applyAlignment="1">
      <alignment horizontal="center"/>
    </xf>
    <xf numFmtId="0" fontId="2" fillId="0" borderId="0" xfId="3" applyBorder="1" applyAlignment="1">
      <alignment horizontal="center"/>
    </xf>
    <xf numFmtId="0" fontId="2" fillId="0" borderId="0" xfId="3" applyFill="1" applyBorder="1" applyAlignment="1" applyProtection="1">
      <protection locked="0"/>
    </xf>
    <xf numFmtId="0" fontId="11" fillId="0" borderId="0" xfId="3" applyFont="1" applyFill="1" applyBorder="1" applyAlignment="1" applyProtection="1">
      <alignment horizontal="center"/>
      <protection locked="0"/>
    </xf>
    <xf numFmtId="0" fontId="11" fillId="0" borderId="0" xfId="3" applyFont="1" applyFill="1" applyBorder="1" applyAlignment="1" applyProtection="1">
      <protection locked="0"/>
    </xf>
    <xf numFmtId="0" fontId="15" fillId="0" borderId="0" xfId="3" applyFont="1" applyFill="1" applyBorder="1" applyAlignment="1" applyProtection="1">
      <protection locked="0"/>
    </xf>
    <xf numFmtId="0" fontId="15" fillId="0" borderId="0" xfId="3" applyFont="1" applyFill="1" applyBorder="1" applyAlignment="1"/>
    <xf numFmtId="0" fontId="2" fillId="0" borderId="0" xfId="3" applyFill="1" applyBorder="1" applyAlignment="1" applyProtection="1"/>
    <xf numFmtId="0" fontId="2" fillId="0" borderId="0" xfId="3" applyBorder="1" applyAlignment="1" applyProtection="1">
      <alignment horizontal="center" shrinkToFit="1"/>
      <protection locked="0"/>
    </xf>
    <xf numFmtId="0" fontId="6" fillId="0" borderId="0" xfId="3" applyFont="1" applyFill="1" applyBorder="1" applyAlignment="1">
      <alignment horizontal="center"/>
    </xf>
    <xf numFmtId="0" fontId="6" fillId="0" borderId="0" xfId="3" applyFont="1" applyFill="1" applyBorder="1" applyAlignment="1" applyProtection="1">
      <protection locked="0"/>
    </xf>
    <xf numFmtId="0" fontId="2" fillId="0" borderId="20" xfId="3" applyBorder="1" applyAlignment="1" applyProtection="1">
      <alignment horizontal="center" shrinkToFit="1"/>
    </xf>
    <xf numFmtId="0" fontId="2" fillId="0" borderId="21" xfId="3" applyBorder="1" applyAlignment="1" applyProtection="1">
      <alignment horizontal="center" shrinkToFit="1"/>
    </xf>
    <xf numFmtId="0" fontId="2" fillId="0" borderId="23" xfId="3" applyBorder="1" applyAlignment="1" applyProtection="1">
      <alignment horizontal="center" shrinkToFit="1"/>
    </xf>
    <xf numFmtId="20" fontId="2" fillId="0" borderId="0" xfId="3" applyNumberFormat="1" applyFill="1" applyBorder="1" applyAlignment="1" applyProtection="1">
      <protection locked="0"/>
    </xf>
    <xf numFmtId="0" fontId="11" fillId="0" borderId="0" xfId="3" applyFont="1" applyFill="1" applyBorder="1" applyAlignment="1">
      <alignment horizontal="right"/>
    </xf>
    <xf numFmtId="1" fontId="2" fillId="0" borderId="0" xfId="3" applyNumberFormat="1" applyFill="1" applyBorder="1" applyAlignment="1" applyProtection="1">
      <protection locked="0"/>
    </xf>
    <xf numFmtId="0" fontId="4" fillId="0" borderId="0" xfId="3" applyFont="1" applyFill="1" applyBorder="1" applyAlignment="1"/>
    <xf numFmtId="0" fontId="4" fillId="0" borderId="0" xfId="3" applyFont="1" applyFill="1" applyBorder="1" applyAlignment="1">
      <alignment horizontal="center"/>
    </xf>
    <xf numFmtId="0" fontId="4" fillId="0" borderId="0" xfId="3" applyFont="1" applyFill="1" applyBorder="1" applyAlignment="1" applyProtection="1">
      <alignment horizontal="left"/>
      <protection locked="0"/>
    </xf>
    <xf numFmtId="0" fontId="4" fillId="0" borderId="0" xfId="3" applyFont="1" applyFill="1" applyBorder="1" applyProtection="1">
      <protection locked="0"/>
    </xf>
    <xf numFmtId="0" fontId="2" fillId="0" borderId="0" xfId="3" applyFill="1" applyBorder="1" applyProtection="1">
      <protection locked="0"/>
    </xf>
    <xf numFmtId="0" fontId="2" fillId="0" borderId="0" xfId="3" applyFill="1" applyBorder="1" applyAlignment="1" applyProtection="1">
      <alignment horizontal="left"/>
      <protection locked="0"/>
    </xf>
    <xf numFmtId="0" fontId="4" fillId="0" borderId="2" xfId="3" applyFont="1" applyBorder="1" applyAlignment="1" applyProtection="1">
      <protection locked="0"/>
    </xf>
    <xf numFmtId="0" fontId="4" fillId="0" borderId="3" xfId="3" applyFont="1" applyBorder="1" applyAlignment="1" applyProtection="1">
      <protection locked="0"/>
    </xf>
    <xf numFmtId="0" fontId="4" fillId="0" borderId="4" xfId="3" applyFont="1" applyBorder="1" applyAlignment="1" applyProtection="1">
      <protection locked="0"/>
    </xf>
    <xf numFmtId="2" fontId="2" fillId="0" borderId="30" xfId="3" applyNumberFormat="1" applyBorder="1" applyAlignment="1">
      <alignment horizontal="center"/>
    </xf>
    <xf numFmtId="0" fontId="2" fillId="0" borderId="54" xfId="3" applyFont="1" applyBorder="1" applyAlignment="1" applyProtection="1">
      <alignment horizontal="center" vertical="center" shrinkToFit="1"/>
      <protection locked="0"/>
    </xf>
    <xf numFmtId="0" fontId="2" fillId="0" borderId="15" xfId="3" applyFont="1" applyBorder="1" applyAlignment="1" applyProtection="1">
      <alignment horizontal="center" vertical="center" shrinkToFit="1"/>
      <protection locked="0"/>
    </xf>
    <xf numFmtId="0" fontId="25" fillId="0" borderId="25" xfId="3" applyFont="1" applyFill="1" applyBorder="1" applyAlignment="1">
      <alignment horizontal="center" shrinkToFit="1"/>
    </xf>
    <xf numFmtId="0" fontId="25" fillId="0" borderId="26" xfId="3" applyFont="1" applyFill="1" applyBorder="1" applyAlignment="1">
      <alignment horizontal="center" shrinkToFit="1"/>
    </xf>
    <xf numFmtId="0" fontId="25" fillId="0" borderId="26" xfId="3" applyFont="1" applyFill="1" applyBorder="1" applyAlignment="1">
      <alignment horizontal="center"/>
    </xf>
    <xf numFmtId="0" fontId="26" fillId="0" borderId="26" xfId="3" applyFont="1" applyFill="1" applyBorder="1" applyAlignment="1">
      <alignment horizontal="center"/>
    </xf>
    <xf numFmtId="0" fontId="26" fillId="0" borderId="27" xfId="3" applyFont="1" applyBorder="1" applyAlignment="1">
      <alignment horizontal="center"/>
    </xf>
    <xf numFmtId="0" fontId="26" fillId="0" borderId="28" xfId="3" applyFont="1" applyBorder="1" applyAlignment="1">
      <alignment horizontal="center"/>
    </xf>
    <xf numFmtId="0" fontId="25" fillId="0" borderId="29" xfId="3" applyFont="1" applyFill="1" applyBorder="1" applyAlignment="1">
      <alignment horizontal="center" shrinkToFit="1"/>
    </xf>
    <xf numFmtId="0" fontId="25" fillId="0" borderId="34" xfId="3" applyFont="1" applyFill="1" applyBorder="1" applyAlignment="1">
      <alignment horizontal="center" shrinkToFit="1"/>
    </xf>
    <xf numFmtId="0" fontId="25" fillId="0" borderId="34" xfId="3" applyFont="1" applyFill="1" applyBorder="1" applyAlignment="1">
      <alignment horizontal="center"/>
    </xf>
    <xf numFmtId="0" fontId="26" fillId="0" borderId="34" xfId="3" applyFont="1" applyFill="1" applyBorder="1" applyAlignment="1">
      <alignment horizontal="center"/>
    </xf>
    <xf numFmtId="0" fontId="25" fillId="0" borderId="17" xfId="3" applyFont="1" applyFill="1" applyBorder="1" applyAlignment="1">
      <alignment horizontal="center" shrinkToFit="1"/>
    </xf>
    <xf numFmtId="0" fontId="25" fillId="0" borderId="1" xfId="3" applyFont="1" applyFill="1" applyBorder="1" applyAlignment="1">
      <alignment horizontal="center" shrinkToFit="1"/>
    </xf>
    <xf numFmtId="0" fontId="25" fillId="0" borderId="1" xfId="3" applyFont="1" applyFill="1" applyBorder="1" applyAlignment="1">
      <alignment horizontal="center"/>
    </xf>
    <xf numFmtId="0" fontId="26" fillId="0" borderId="1" xfId="3" applyFont="1" applyFill="1" applyBorder="1" applyAlignment="1">
      <alignment horizontal="center"/>
    </xf>
    <xf numFmtId="0" fontId="26" fillId="0" borderId="5" xfId="3" applyFont="1" applyBorder="1" applyAlignment="1">
      <alignment horizontal="center"/>
    </xf>
    <xf numFmtId="0" fontId="26" fillId="0" borderId="31" xfId="3" applyFont="1" applyBorder="1" applyAlignment="1">
      <alignment horizontal="center"/>
    </xf>
    <xf numFmtId="0" fontId="26" fillId="0" borderId="1" xfId="3" applyFont="1" applyFill="1" applyBorder="1" applyAlignment="1">
      <alignment horizontal="center"/>
    </xf>
    <xf numFmtId="0" fontId="25" fillId="0" borderId="38" xfId="3" applyFont="1" applyFill="1" applyBorder="1" applyAlignment="1">
      <alignment horizontal="center" shrinkToFit="1"/>
    </xf>
    <xf numFmtId="0" fontId="25" fillId="0" borderId="37" xfId="3" applyFont="1" applyFill="1" applyBorder="1" applyAlignment="1">
      <alignment horizontal="center" shrinkToFit="1"/>
    </xf>
    <xf numFmtId="0" fontId="25" fillId="0" borderId="37" xfId="3" applyFont="1" applyFill="1" applyBorder="1" applyAlignment="1">
      <alignment horizontal="center"/>
    </xf>
    <xf numFmtId="0" fontId="26" fillId="0" borderId="37" xfId="3" applyFont="1" applyFill="1" applyBorder="1" applyAlignment="1">
      <alignment horizontal="center"/>
    </xf>
    <xf numFmtId="0" fontId="26" fillId="0" borderId="35" xfId="3" applyFont="1" applyBorder="1" applyAlignment="1">
      <alignment horizontal="center"/>
    </xf>
    <xf numFmtId="0" fontId="26" fillId="0" borderId="36" xfId="3" applyFont="1" applyBorder="1" applyAlignment="1">
      <alignment horizontal="center"/>
    </xf>
    <xf numFmtId="0" fontId="26" fillId="0" borderId="37" xfId="3" applyFont="1" applyFill="1" applyBorder="1" applyAlignment="1">
      <alignment horizontal="center"/>
    </xf>
    <xf numFmtId="0" fontId="25" fillId="4" borderId="38" xfId="3" applyFont="1" applyFill="1" applyBorder="1" applyAlignment="1">
      <alignment horizontal="center"/>
    </xf>
    <xf numFmtId="0" fontId="25" fillId="4" borderId="37" xfId="3" applyFont="1" applyFill="1" applyBorder="1" applyAlignment="1">
      <alignment horizontal="center"/>
    </xf>
    <xf numFmtId="0" fontId="26" fillId="4" borderId="37" xfId="3" applyFont="1" applyFill="1" applyBorder="1" applyAlignment="1">
      <alignment horizontal="center"/>
    </xf>
    <xf numFmtId="0" fontId="26" fillId="4" borderId="36" xfId="3" applyFont="1" applyFill="1" applyBorder="1" applyAlignment="1">
      <alignment horizontal="center"/>
    </xf>
    <xf numFmtId="0" fontId="2" fillId="12" borderId="42" xfId="3" applyFill="1" applyBorder="1" applyAlignment="1" applyProtection="1">
      <alignment horizontal="center" vertical="center"/>
      <protection locked="0"/>
    </xf>
    <xf numFmtId="0" fontId="2" fillId="13" borderId="2" xfId="3" applyFont="1" applyFill="1" applyBorder="1" applyAlignment="1">
      <alignment horizontal="center"/>
    </xf>
    <xf numFmtId="0" fontId="2" fillId="13" borderId="3" xfId="3" applyFont="1" applyFill="1" applyBorder="1" applyAlignment="1">
      <alignment horizontal="center"/>
    </xf>
    <xf numFmtId="0" fontId="2" fillId="13" borderId="4" xfId="3" applyFont="1" applyFill="1" applyBorder="1" applyAlignment="1">
      <alignment horizontal="center"/>
    </xf>
    <xf numFmtId="0" fontId="2" fillId="12" borderId="45" xfId="3" applyFill="1" applyBorder="1" applyAlignment="1" applyProtection="1">
      <alignment horizontal="center" vertical="center"/>
      <protection locked="0"/>
    </xf>
    <xf numFmtId="0" fontId="11" fillId="5" borderId="2" xfId="3" applyFont="1" applyFill="1" applyBorder="1" applyAlignment="1">
      <alignment horizontal="center"/>
    </xf>
    <xf numFmtId="0" fontId="11" fillId="5" borderId="3" xfId="3" applyFont="1" applyFill="1" applyBorder="1" applyAlignment="1">
      <alignment horizontal="center"/>
    </xf>
    <xf numFmtId="0" fontId="11" fillId="5" borderId="4" xfId="3" applyFont="1" applyFill="1" applyBorder="1" applyAlignment="1">
      <alignment horizontal="center"/>
    </xf>
    <xf numFmtId="0" fontId="2" fillId="0" borderId="12" xfId="3" applyBorder="1" applyAlignment="1" applyProtection="1">
      <alignment horizontal="center"/>
      <protection locked="0"/>
    </xf>
    <xf numFmtId="0" fontId="15" fillId="0" borderId="25" xfId="3" applyFont="1" applyFill="1" applyBorder="1" applyAlignment="1">
      <alignment horizontal="center" shrinkToFit="1"/>
    </xf>
    <xf numFmtId="0" fontId="15" fillId="0" borderId="26" xfId="3" applyFont="1" applyFill="1" applyBorder="1" applyAlignment="1">
      <alignment horizontal="center" shrinkToFit="1"/>
    </xf>
    <xf numFmtId="0" fontId="15" fillId="0" borderId="26" xfId="3" applyFont="1" applyFill="1" applyBorder="1" applyAlignment="1">
      <alignment horizontal="center"/>
    </xf>
    <xf numFmtId="0" fontId="15" fillId="0" borderId="28" xfId="3" applyFont="1" applyFill="1" applyBorder="1" applyAlignment="1">
      <alignment horizontal="center"/>
    </xf>
    <xf numFmtId="0" fontId="15" fillId="0" borderId="25" xfId="3" applyFont="1" applyBorder="1" applyAlignment="1">
      <alignment horizontal="center" shrinkToFit="1"/>
    </xf>
    <xf numFmtId="0" fontId="15" fillId="0" borderId="26" xfId="3" applyFont="1" applyBorder="1" applyAlignment="1">
      <alignment horizontal="center" shrinkToFit="1"/>
    </xf>
    <xf numFmtId="0" fontId="15" fillId="0" borderId="26" xfId="3" applyFont="1" applyBorder="1" applyAlignment="1">
      <alignment horizontal="center"/>
    </xf>
    <xf numFmtId="0" fontId="15" fillId="0" borderId="28" xfId="3" applyFont="1" applyBorder="1" applyAlignment="1">
      <alignment horizontal="center"/>
    </xf>
    <xf numFmtId="0" fontId="15" fillId="0" borderId="57" xfId="3" applyFont="1" applyBorder="1" applyAlignment="1">
      <alignment horizontal="center" shrinkToFit="1"/>
    </xf>
    <xf numFmtId="0" fontId="15" fillId="0" borderId="17" xfId="3" applyFont="1" applyFill="1" applyBorder="1" applyAlignment="1">
      <alignment horizontal="center" shrinkToFit="1"/>
    </xf>
    <xf numFmtId="0" fontId="15" fillId="0" borderId="1" xfId="3" applyFont="1" applyFill="1" applyBorder="1" applyAlignment="1">
      <alignment horizontal="center" shrinkToFit="1"/>
    </xf>
    <xf numFmtId="0" fontId="15" fillId="0" borderId="1" xfId="3" applyFont="1" applyFill="1" applyBorder="1" applyAlignment="1">
      <alignment horizontal="center"/>
    </xf>
    <xf numFmtId="0" fontId="15" fillId="0" borderId="31" xfId="3" applyFont="1" applyFill="1" applyBorder="1" applyAlignment="1">
      <alignment horizontal="center"/>
    </xf>
    <xf numFmtId="0" fontId="15" fillId="0" borderId="17" xfId="3" applyFont="1" applyBorder="1" applyAlignment="1">
      <alignment horizontal="center" shrinkToFit="1"/>
    </xf>
    <xf numFmtId="0" fontId="15" fillId="0" borderId="1" xfId="3" applyFont="1" applyBorder="1" applyAlignment="1">
      <alignment horizontal="center" shrinkToFit="1"/>
    </xf>
    <xf numFmtId="0" fontId="15" fillId="0" borderId="1" xfId="3" applyFont="1" applyBorder="1" applyAlignment="1">
      <alignment horizontal="center"/>
    </xf>
    <xf numFmtId="0" fontId="15" fillId="0" borderId="31" xfId="3" applyFont="1" applyBorder="1" applyAlignment="1">
      <alignment horizontal="center"/>
    </xf>
    <xf numFmtId="0" fontId="15" fillId="0" borderId="19" xfId="3" applyFont="1" applyBorder="1" applyAlignment="1">
      <alignment horizontal="center" shrinkToFit="1"/>
    </xf>
    <xf numFmtId="0" fontId="2" fillId="0" borderId="14" xfId="3" applyBorder="1" applyAlignment="1" applyProtection="1">
      <alignment horizontal="center"/>
      <protection locked="0"/>
    </xf>
    <xf numFmtId="0" fontId="15" fillId="4" borderId="53" xfId="3" applyFont="1" applyFill="1" applyBorder="1" applyAlignment="1">
      <alignment horizontal="center"/>
    </xf>
    <xf numFmtId="0" fontId="15" fillId="4" borderId="37" xfId="3" applyFont="1" applyFill="1" applyBorder="1" applyAlignment="1">
      <alignment horizontal="center"/>
    </xf>
    <xf numFmtId="0" fontId="15" fillId="4" borderId="36" xfId="3" applyFont="1" applyFill="1" applyBorder="1" applyAlignment="1">
      <alignment horizontal="center"/>
    </xf>
    <xf numFmtId="0" fontId="11" fillId="0" borderId="0" xfId="3" applyFont="1" applyAlignment="1" applyProtection="1">
      <alignment horizontal="center" shrinkToFit="1"/>
      <protection locked="0"/>
    </xf>
    <xf numFmtId="0" fontId="2" fillId="0" borderId="0" xfId="3" applyBorder="1" applyAlignment="1" applyProtection="1"/>
    <xf numFmtId="0" fontId="44" fillId="0" borderId="0" xfId="3" applyFont="1" applyFill="1" applyBorder="1" applyAlignment="1" applyProtection="1">
      <alignment vertical="center"/>
      <protection locked="0"/>
    </xf>
    <xf numFmtId="2" fontId="2" fillId="0" borderId="28" xfId="3" applyNumberFormat="1" applyBorder="1" applyAlignment="1" applyProtection="1">
      <alignment horizontal="center"/>
      <protection locked="0"/>
    </xf>
  </cellXfs>
  <cellStyles count="12">
    <cellStyle name="Currency 2" xfId="6"/>
    <cellStyle name="Hyperlink 2" xfId="7"/>
    <cellStyle name="Hyperlink 3" xfId="8"/>
    <cellStyle name="Normal" xfId="0" builtinId="0"/>
    <cellStyle name="Normal 2" xfId="1"/>
    <cellStyle name="Normal 2 2" xfId="2"/>
    <cellStyle name="Normal 2 2 2" xfId="3"/>
    <cellStyle name="Normal 2 2 2 2" xfId="5"/>
    <cellStyle name="Normal 3" xfId="9"/>
    <cellStyle name="Normal 4" xfId="10"/>
    <cellStyle name="Normal 6" xfId="11"/>
    <cellStyle name="Normal 9" xfId="4"/>
  </cellStyles>
  <dxfs count="1360">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ont>
        <color rgb="FF9C0006"/>
      </font>
      <fill>
        <patternFill>
          <bgColor rgb="FFFFC7CE"/>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ont>
        <color rgb="FF9C0006"/>
      </font>
      <fill>
        <patternFill>
          <bgColor rgb="FFFFC7CE"/>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ill>
        <patternFill>
          <bgColor theme="9" tint="0.59996337778862885"/>
        </patternFill>
      </fill>
    </dxf>
    <dxf>
      <fill>
        <patternFill>
          <bgColor theme="4"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9" tint="0.79998168889431442"/>
        </patternFill>
      </fill>
    </dxf>
    <dxf>
      <fill>
        <patternFill>
          <bgColor theme="4" tint="0.59996337778862885"/>
        </patternFill>
      </fill>
    </dxf>
    <dxf>
      <fill>
        <patternFill>
          <bgColor theme="7" tint="0.59996337778862885"/>
        </patternFill>
      </fill>
    </dxf>
    <dxf>
      <fill>
        <patternFill>
          <bgColor theme="2" tint="-0.24994659260841701"/>
        </patternFill>
      </fill>
    </dxf>
    <dxf>
      <font>
        <color rgb="FF9C0006"/>
      </font>
      <fill>
        <patternFill>
          <bgColor rgb="FFFFC7CE"/>
        </patternFill>
      </fill>
    </dxf>
    <dxf>
      <font>
        <color theme="0"/>
      </font>
      <fill>
        <patternFill patternType="none">
          <bgColor indexed="65"/>
        </patternFill>
      </fill>
    </dxf>
    <dxf>
      <font>
        <color theme="0"/>
      </font>
      <fill>
        <patternFill patternType="none">
          <bgColor indexed="65"/>
        </patternFill>
      </fill>
    </dxf>
    <dxf>
      <font>
        <color theme="0"/>
      </font>
      <fill>
        <patternFill patternType="none">
          <bgColor indexed="6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ont>
        <color theme="0"/>
      </font>
      <fill>
        <patternFill patternType="none">
          <bgColor indexed="65"/>
        </patternFill>
      </fill>
    </dxf>
    <dxf>
      <font>
        <color theme="0"/>
      </font>
      <fill>
        <patternFill patternType="none">
          <bgColor indexed="65"/>
        </patternFill>
      </fill>
    </dxf>
    <dxf>
      <font>
        <color theme="0"/>
      </font>
      <fill>
        <patternFill patternType="none">
          <bgColor indexed="6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ont>
        <condense val="0"/>
        <extend val="0"/>
        <color indexed="55"/>
      </font>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4.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10.emf"/><Relationship Id="rId2" Type="http://schemas.openxmlformats.org/officeDocument/2006/relationships/image" Target="../media/image9.emf"/><Relationship Id="rId1" Type="http://schemas.openxmlformats.org/officeDocument/2006/relationships/image" Target="../media/image8.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2.emf"/><Relationship Id="rId1" Type="http://schemas.openxmlformats.org/officeDocument/2006/relationships/image" Target="../media/image13.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14.emf"/><Relationship Id="rId2" Type="http://schemas.openxmlformats.org/officeDocument/2006/relationships/image" Target="../media/image15.emf"/><Relationship Id="rId1" Type="http://schemas.openxmlformats.org/officeDocument/2006/relationships/image" Target="../media/image16.emf"/></Relationships>
</file>

<file path=xl/drawings/drawing1.xml><?xml version="1.0" encoding="utf-8"?>
<xdr:wsDr xmlns:xdr="http://schemas.openxmlformats.org/drawingml/2006/spreadsheetDrawing" xmlns:a="http://schemas.openxmlformats.org/drawingml/2006/main">
  <xdr:twoCellAnchor>
    <xdr:from>
      <xdr:col>6</xdr:col>
      <xdr:colOff>571500</xdr:colOff>
      <xdr:row>0</xdr:row>
      <xdr:rowOff>0</xdr:rowOff>
    </xdr:from>
    <xdr:to>
      <xdr:col>10</xdr:col>
      <xdr:colOff>381000</xdr:colOff>
      <xdr:row>0</xdr:row>
      <xdr:rowOff>0</xdr:rowOff>
    </xdr:to>
    <xdr:sp macro="" textlink="">
      <xdr:nvSpPr>
        <xdr:cNvPr id="19740" name="Line 1"/>
        <xdr:cNvSpPr>
          <a:spLocks noChangeShapeType="1"/>
        </xdr:cNvSpPr>
      </xdr:nvSpPr>
      <xdr:spPr bwMode="auto">
        <a:xfrm>
          <a:off x="1876425" y="0"/>
          <a:ext cx="895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571500</xdr:colOff>
      <xdr:row>0</xdr:row>
      <xdr:rowOff>0</xdr:rowOff>
    </xdr:from>
    <xdr:to>
      <xdr:col>12</xdr:col>
      <xdr:colOff>381000</xdr:colOff>
      <xdr:row>0</xdr:row>
      <xdr:rowOff>0</xdr:rowOff>
    </xdr:to>
    <xdr:sp macro="" textlink="">
      <xdr:nvSpPr>
        <xdr:cNvPr id="19741" name="Line 2"/>
        <xdr:cNvSpPr>
          <a:spLocks noChangeShapeType="1"/>
        </xdr:cNvSpPr>
      </xdr:nvSpPr>
      <xdr:spPr bwMode="auto">
        <a:xfrm>
          <a:off x="2276475" y="0"/>
          <a:ext cx="895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571500</xdr:colOff>
      <xdr:row>0</xdr:row>
      <xdr:rowOff>0</xdr:rowOff>
    </xdr:from>
    <xdr:to>
      <xdr:col>14</xdr:col>
      <xdr:colOff>381000</xdr:colOff>
      <xdr:row>0</xdr:row>
      <xdr:rowOff>0</xdr:rowOff>
    </xdr:to>
    <xdr:sp macro="" textlink="">
      <xdr:nvSpPr>
        <xdr:cNvPr id="19742" name="Line 3"/>
        <xdr:cNvSpPr>
          <a:spLocks noChangeShapeType="1"/>
        </xdr:cNvSpPr>
      </xdr:nvSpPr>
      <xdr:spPr bwMode="auto">
        <a:xfrm>
          <a:off x="2771775" y="0"/>
          <a:ext cx="8001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276225</xdr:colOff>
      <xdr:row>264</xdr:row>
      <xdr:rowOff>19050</xdr:rowOff>
    </xdr:from>
    <xdr:to>
      <xdr:col>42</xdr:col>
      <xdr:colOff>619125</xdr:colOff>
      <xdr:row>265</xdr:row>
      <xdr:rowOff>114300</xdr:rowOff>
    </xdr:to>
    <xdr:pic>
      <xdr:nvPicPr>
        <xdr:cNvPr id="19743" name="Picture 6" descr="SCMAP-USAVOLLEYBALL_c"/>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58450" y="14887575"/>
          <a:ext cx="3429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36</xdr:col>
          <xdr:colOff>104775</xdr:colOff>
          <xdr:row>13</xdr:row>
          <xdr:rowOff>9525</xdr:rowOff>
        </xdr:from>
        <xdr:to>
          <xdr:col>41</xdr:col>
          <xdr:colOff>228600</xdr:colOff>
          <xdr:row>16</xdr:row>
          <xdr:rowOff>104775</xdr:rowOff>
        </xdr:to>
        <xdr:sp macro="" textlink="">
          <xdr:nvSpPr>
            <xdr:cNvPr id="19457" name="Pool1RecalcFinish" hidden="1">
              <a:extLst>
                <a:ext uri="{63B3BB69-23CF-44E3-9099-C40C66FF867C}">
                  <a14:compatExt spid="_x0000_s19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36</xdr:col>
          <xdr:colOff>104775</xdr:colOff>
          <xdr:row>98</xdr:row>
          <xdr:rowOff>9525</xdr:rowOff>
        </xdr:from>
        <xdr:to>
          <xdr:col>41</xdr:col>
          <xdr:colOff>228600</xdr:colOff>
          <xdr:row>101</xdr:row>
          <xdr:rowOff>104775</xdr:rowOff>
        </xdr:to>
        <xdr:sp macro="" textlink="">
          <xdr:nvSpPr>
            <xdr:cNvPr id="19458" name="Pool2RecalcFinish" hidden="1">
              <a:extLst>
                <a:ext uri="{63B3BB69-23CF-44E3-9099-C40C66FF867C}">
                  <a14:compatExt spid="_x0000_s19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36</xdr:col>
          <xdr:colOff>104775</xdr:colOff>
          <xdr:row>183</xdr:row>
          <xdr:rowOff>9525</xdr:rowOff>
        </xdr:from>
        <xdr:to>
          <xdr:col>41</xdr:col>
          <xdr:colOff>228600</xdr:colOff>
          <xdr:row>186</xdr:row>
          <xdr:rowOff>104775</xdr:rowOff>
        </xdr:to>
        <xdr:sp macro="" textlink="">
          <xdr:nvSpPr>
            <xdr:cNvPr id="19459" name="Pool3RecalcFinish" hidden="1">
              <a:extLst>
                <a:ext uri="{63B3BB69-23CF-44E3-9099-C40C66FF867C}">
                  <a14:compatExt spid="_x0000_s19459"/>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6</xdr:col>
      <xdr:colOff>571500</xdr:colOff>
      <xdr:row>0</xdr:row>
      <xdr:rowOff>0</xdr:rowOff>
    </xdr:from>
    <xdr:to>
      <xdr:col>10</xdr:col>
      <xdr:colOff>381000</xdr:colOff>
      <xdr:row>0</xdr:row>
      <xdr:rowOff>0</xdr:rowOff>
    </xdr:to>
    <xdr:sp macro="" textlink="">
      <xdr:nvSpPr>
        <xdr:cNvPr id="18716" name="Line 1"/>
        <xdr:cNvSpPr>
          <a:spLocks noChangeShapeType="1"/>
        </xdr:cNvSpPr>
      </xdr:nvSpPr>
      <xdr:spPr bwMode="auto">
        <a:xfrm>
          <a:off x="1876425" y="0"/>
          <a:ext cx="895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571500</xdr:colOff>
      <xdr:row>0</xdr:row>
      <xdr:rowOff>0</xdr:rowOff>
    </xdr:from>
    <xdr:to>
      <xdr:col>12</xdr:col>
      <xdr:colOff>381000</xdr:colOff>
      <xdr:row>0</xdr:row>
      <xdr:rowOff>0</xdr:rowOff>
    </xdr:to>
    <xdr:sp macro="" textlink="">
      <xdr:nvSpPr>
        <xdr:cNvPr id="18717" name="Line 2"/>
        <xdr:cNvSpPr>
          <a:spLocks noChangeShapeType="1"/>
        </xdr:cNvSpPr>
      </xdr:nvSpPr>
      <xdr:spPr bwMode="auto">
        <a:xfrm>
          <a:off x="2276475" y="0"/>
          <a:ext cx="895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571500</xdr:colOff>
      <xdr:row>0</xdr:row>
      <xdr:rowOff>0</xdr:rowOff>
    </xdr:from>
    <xdr:to>
      <xdr:col>14</xdr:col>
      <xdr:colOff>381000</xdr:colOff>
      <xdr:row>0</xdr:row>
      <xdr:rowOff>0</xdr:rowOff>
    </xdr:to>
    <xdr:sp macro="" textlink="">
      <xdr:nvSpPr>
        <xdr:cNvPr id="18718" name="Line 3"/>
        <xdr:cNvSpPr>
          <a:spLocks noChangeShapeType="1"/>
        </xdr:cNvSpPr>
      </xdr:nvSpPr>
      <xdr:spPr bwMode="auto">
        <a:xfrm>
          <a:off x="2771775" y="0"/>
          <a:ext cx="8001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276225</xdr:colOff>
      <xdr:row>264</xdr:row>
      <xdr:rowOff>19050</xdr:rowOff>
    </xdr:from>
    <xdr:to>
      <xdr:col>42</xdr:col>
      <xdr:colOff>619125</xdr:colOff>
      <xdr:row>265</xdr:row>
      <xdr:rowOff>114300</xdr:rowOff>
    </xdr:to>
    <xdr:pic>
      <xdr:nvPicPr>
        <xdr:cNvPr id="18719" name="Picture 6" descr="SCMAP-USAVOLLEYBALL_c"/>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58450" y="14887575"/>
          <a:ext cx="3429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36</xdr:col>
          <xdr:colOff>104775</xdr:colOff>
          <xdr:row>13</xdr:row>
          <xdr:rowOff>9525</xdr:rowOff>
        </xdr:from>
        <xdr:to>
          <xdr:col>41</xdr:col>
          <xdr:colOff>228600</xdr:colOff>
          <xdr:row>16</xdr:row>
          <xdr:rowOff>104775</xdr:rowOff>
        </xdr:to>
        <xdr:sp macro="" textlink="">
          <xdr:nvSpPr>
            <xdr:cNvPr id="18433" name="Pool1RecalcFinish" hidden="1">
              <a:extLst>
                <a:ext uri="{63B3BB69-23CF-44E3-9099-C40C66FF867C}">
                  <a14:compatExt spid="_x0000_s18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36</xdr:col>
          <xdr:colOff>104775</xdr:colOff>
          <xdr:row>98</xdr:row>
          <xdr:rowOff>9525</xdr:rowOff>
        </xdr:from>
        <xdr:to>
          <xdr:col>41</xdr:col>
          <xdr:colOff>228600</xdr:colOff>
          <xdr:row>101</xdr:row>
          <xdr:rowOff>104775</xdr:rowOff>
        </xdr:to>
        <xdr:sp macro="" textlink="">
          <xdr:nvSpPr>
            <xdr:cNvPr id="18434" name="Pool2RecalcFinish" hidden="1">
              <a:extLst>
                <a:ext uri="{63B3BB69-23CF-44E3-9099-C40C66FF867C}">
                  <a14:compatExt spid="_x0000_s18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36</xdr:col>
          <xdr:colOff>104775</xdr:colOff>
          <xdr:row>183</xdr:row>
          <xdr:rowOff>9525</xdr:rowOff>
        </xdr:from>
        <xdr:to>
          <xdr:col>41</xdr:col>
          <xdr:colOff>228600</xdr:colOff>
          <xdr:row>186</xdr:row>
          <xdr:rowOff>104775</xdr:rowOff>
        </xdr:to>
        <xdr:sp macro="" textlink="">
          <xdr:nvSpPr>
            <xdr:cNvPr id="18435" name="Pool3RecalcFinish" hidden="1">
              <a:extLst>
                <a:ext uri="{63B3BB69-23CF-44E3-9099-C40C66FF867C}">
                  <a14:compatExt spid="_x0000_s18435"/>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6</xdr:col>
      <xdr:colOff>571500</xdr:colOff>
      <xdr:row>0</xdr:row>
      <xdr:rowOff>0</xdr:rowOff>
    </xdr:from>
    <xdr:to>
      <xdr:col>10</xdr:col>
      <xdr:colOff>381000</xdr:colOff>
      <xdr:row>0</xdr:row>
      <xdr:rowOff>0</xdr:rowOff>
    </xdr:to>
    <xdr:sp macro="" textlink="">
      <xdr:nvSpPr>
        <xdr:cNvPr id="17692" name="Line 1"/>
        <xdr:cNvSpPr>
          <a:spLocks noChangeShapeType="1"/>
        </xdr:cNvSpPr>
      </xdr:nvSpPr>
      <xdr:spPr bwMode="auto">
        <a:xfrm>
          <a:off x="1876425" y="0"/>
          <a:ext cx="895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571500</xdr:colOff>
      <xdr:row>0</xdr:row>
      <xdr:rowOff>0</xdr:rowOff>
    </xdr:from>
    <xdr:to>
      <xdr:col>12</xdr:col>
      <xdr:colOff>381000</xdr:colOff>
      <xdr:row>0</xdr:row>
      <xdr:rowOff>0</xdr:rowOff>
    </xdr:to>
    <xdr:sp macro="" textlink="">
      <xdr:nvSpPr>
        <xdr:cNvPr id="17693" name="Line 2"/>
        <xdr:cNvSpPr>
          <a:spLocks noChangeShapeType="1"/>
        </xdr:cNvSpPr>
      </xdr:nvSpPr>
      <xdr:spPr bwMode="auto">
        <a:xfrm>
          <a:off x="2276475" y="0"/>
          <a:ext cx="895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571500</xdr:colOff>
      <xdr:row>0</xdr:row>
      <xdr:rowOff>0</xdr:rowOff>
    </xdr:from>
    <xdr:to>
      <xdr:col>14</xdr:col>
      <xdr:colOff>381000</xdr:colOff>
      <xdr:row>0</xdr:row>
      <xdr:rowOff>0</xdr:rowOff>
    </xdr:to>
    <xdr:sp macro="" textlink="">
      <xdr:nvSpPr>
        <xdr:cNvPr id="17694" name="Line 3"/>
        <xdr:cNvSpPr>
          <a:spLocks noChangeShapeType="1"/>
        </xdr:cNvSpPr>
      </xdr:nvSpPr>
      <xdr:spPr bwMode="auto">
        <a:xfrm>
          <a:off x="2771775" y="0"/>
          <a:ext cx="8001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342900</xdr:colOff>
      <xdr:row>264</xdr:row>
      <xdr:rowOff>28575</xdr:rowOff>
    </xdr:from>
    <xdr:to>
      <xdr:col>42</xdr:col>
      <xdr:colOff>685800</xdr:colOff>
      <xdr:row>265</xdr:row>
      <xdr:rowOff>123825</xdr:rowOff>
    </xdr:to>
    <xdr:pic>
      <xdr:nvPicPr>
        <xdr:cNvPr id="17695" name="Picture 6" descr="SCMAP-USAVOLLEYBALL_c"/>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25125" y="14897100"/>
          <a:ext cx="3429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36</xdr:col>
          <xdr:colOff>104775</xdr:colOff>
          <xdr:row>13</xdr:row>
          <xdr:rowOff>9525</xdr:rowOff>
        </xdr:from>
        <xdr:to>
          <xdr:col>41</xdr:col>
          <xdr:colOff>228600</xdr:colOff>
          <xdr:row>16</xdr:row>
          <xdr:rowOff>104775</xdr:rowOff>
        </xdr:to>
        <xdr:sp macro="" textlink="">
          <xdr:nvSpPr>
            <xdr:cNvPr id="17409" name="Pool1RecalcFinish" hidden="1">
              <a:extLst>
                <a:ext uri="{63B3BB69-23CF-44E3-9099-C40C66FF867C}">
                  <a14:compatExt spid="_x0000_s17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36</xdr:col>
          <xdr:colOff>104775</xdr:colOff>
          <xdr:row>98</xdr:row>
          <xdr:rowOff>9525</xdr:rowOff>
        </xdr:from>
        <xdr:to>
          <xdr:col>41</xdr:col>
          <xdr:colOff>228600</xdr:colOff>
          <xdr:row>101</xdr:row>
          <xdr:rowOff>104775</xdr:rowOff>
        </xdr:to>
        <xdr:sp macro="" textlink="">
          <xdr:nvSpPr>
            <xdr:cNvPr id="17410" name="Pool2RecalcFinish" hidden="1">
              <a:extLst>
                <a:ext uri="{63B3BB69-23CF-44E3-9099-C40C66FF867C}">
                  <a14:compatExt spid="_x0000_s17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36</xdr:col>
          <xdr:colOff>104775</xdr:colOff>
          <xdr:row>183</xdr:row>
          <xdr:rowOff>9525</xdr:rowOff>
        </xdr:from>
        <xdr:to>
          <xdr:col>41</xdr:col>
          <xdr:colOff>228600</xdr:colOff>
          <xdr:row>186</xdr:row>
          <xdr:rowOff>104775</xdr:rowOff>
        </xdr:to>
        <xdr:sp macro="" textlink="">
          <xdr:nvSpPr>
            <xdr:cNvPr id="17411" name="Pool3RecalcFinish" hidden="1">
              <a:extLst>
                <a:ext uri="{63B3BB69-23CF-44E3-9099-C40C66FF867C}">
                  <a14:compatExt spid="_x0000_s17411"/>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6</xdr:col>
      <xdr:colOff>571500</xdr:colOff>
      <xdr:row>0</xdr:row>
      <xdr:rowOff>0</xdr:rowOff>
    </xdr:from>
    <xdr:to>
      <xdr:col>11</xdr:col>
      <xdr:colOff>381000</xdr:colOff>
      <xdr:row>0</xdr:row>
      <xdr:rowOff>0</xdr:rowOff>
    </xdr:to>
    <xdr:sp macro="" textlink="">
      <xdr:nvSpPr>
        <xdr:cNvPr id="2" name="Line 1"/>
        <xdr:cNvSpPr>
          <a:spLocks noChangeShapeType="1"/>
        </xdr:cNvSpPr>
      </xdr:nvSpPr>
      <xdr:spPr bwMode="auto">
        <a:xfrm>
          <a:off x="1905000" y="0"/>
          <a:ext cx="1143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571500</xdr:colOff>
      <xdr:row>0</xdr:row>
      <xdr:rowOff>0</xdr:rowOff>
    </xdr:from>
    <xdr:to>
      <xdr:col>13</xdr:col>
      <xdr:colOff>381000</xdr:colOff>
      <xdr:row>0</xdr:row>
      <xdr:rowOff>0</xdr:rowOff>
    </xdr:to>
    <xdr:sp macro="" textlink="">
      <xdr:nvSpPr>
        <xdr:cNvPr id="3" name="Line 2"/>
        <xdr:cNvSpPr>
          <a:spLocks noChangeShapeType="1"/>
        </xdr:cNvSpPr>
      </xdr:nvSpPr>
      <xdr:spPr bwMode="auto">
        <a:xfrm>
          <a:off x="2305050" y="0"/>
          <a:ext cx="1143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571500</xdr:colOff>
      <xdr:row>0</xdr:row>
      <xdr:rowOff>0</xdr:rowOff>
    </xdr:from>
    <xdr:to>
      <xdr:col>15</xdr:col>
      <xdr:colOff>381000</xdr:colOff>
      <xdr:row>0</xdr:row>
      <xdr:rowOff>0</xdr:rowOff>
    </xdr:to>
    <xdr:sp macro="" textlink="">
      <xdr:nvSpPr>
        <xdr:cNvPr id="4" name="Line 3"/>
        <xdr:cNvSpPr>
          <a:spLocks noChangeShapeType="1"/>
        </xdr:cNvSpPr>
      </xdr:nvSpPr>
      <xdr:spPr bwMode="auto">
        <a:xfrm>
          <a:off x="3048000" y="0"/>
          <a:ext cx="8001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16</xdr:col>
      <xdr:colOff>104775</xdr:colOff>
      <xdr:row>362</xdr:row>
      <xdr:rowOff>28575</xdr:rowOff>
    </xdr:from>
    <xdr:to>
      <xdr:col>17</xdr:col>
      <xdr:colOff>200025</xdr:colOff>
      <xdr:row>363</xdr:row>
      <xdr:rowOff>123825</xdr:rowOff>
    </xdr:to>
    <xdr:pic>
      <xdr:nvPicPr>
        <xdr:cNvPr id="5" name="Picture 8" descr="SCMAP-USAVOLLEYBALL_c"/>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52875" y="32937450"/>
          <a:ext cx="3429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37</xdr:col>
          <xdr:colOff>104775</xdr:colOff>
          <xdr:row>13</xdr:row>
          <xdr:rowOff>9525</xdr:rowOff>
        </xdr:from>
        <xdr:to>
          <xdr:col>42</xdr:col>
          <xdr:colOff>228600</xdr:colOff>
          <xdr:row>16</xdr:row>
          <xdr:rowOff>104775</xdr:rowOff>
        </xdr:to>
        <xdr:sp macro="" textlink="">
          <xdr:nvSpPr>
            <xdr:cNvPr id="35841" name="Pool1RecalcFinish" hidden="1">
              <a:extLst>
                <a:ext uri="{63B3BB69-23CF-44E3-9099-C40C66FF867C}">
                  <a14:compatExt spid="_x0000_s35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37</xdr:col>
          <xdr:colOff>104775</xdr:colOff>
          <xdr:row>98</xdr:row>
          <xdr:rowOff>9525</xdr:rowOff>
        </xdr:from>
        <xdr:to>
          <xdr:col>42</xdr:col>
          <xdr:colOff>228600</xdr:colOff>
          <xdr:row>101</xdr:row>
          <xdr:rowOff>104775</xdr:rowOff>
        </xdr:to>
        <xdr:sp macro="" textlink="">
          <xdr:nvSpPr>
            <xdr:cNvPr id="35842" name="Pool2RecalcFinish" hidden="1">
              <a:extLst>
                <a:ext uri="{63B3BB69-23CF-44E3-9099-C40C66FF867C}">
                  <a14:compatExt spid="_x0000_s35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37</xdr:col>
          <xdr:colOff>104775</xdr:colOff>
          <xdr:row>183</xdr:row>
          <xdr:rowOff>9525</xdr:rowOff>
        </xdr:from>
        <xdr:to>
          <xdr:col>42</xdr:col>
          <xdr:colOff>228600</xdr:colOff>
          <xdr:row>186</xdr:row>
          <xdr:rowOff>104775</xdr:rowOff>
        </xdr:to>
        <xdr:sp macro="" textlink="">
          <xdr:nvSpPr>
            <xdr:cNvPr id="35843" name="Pool3RecalcFinish" hidden="1">
              <a:extLst>
                <a:ext uri="{63B3BB69-23CF-44E3-9099-C40C66FF867C}">
                  <a14:compatExt spid="_x0000_s35843"/>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6</xdr:col>
      <xdr:colOff>571500</xdr:colOff>
      <xdr:row>0</xdr:row>
      <xdr:rowOff>0</xdr:rowOff>
    </xdr:from>
    <xdr:to>
      <xdr:col>11</xdr:col>
      <xdr:colOff>381000</xdr:colOff>
      <xdr:row>0</xdr:row>
      <xdr:rowOff>0</xdr:rowOff>
    </xdr:to>
    <xdr:sp macro="" textlink="">
      <xdr:nvSpPr>
        <xdr:cNvPr id="2" name="Line 1"/>
        <xdr:cNvSpPr>
          <a:spLocks noChangeShapeType="1"/>
        </xdr:cNvSpPr>
      </xdr:nvSpPr>
      <xdr:spPr bwMode="auto">
        <a:xfrm>
          <a:off x="1905000" y="0"/>
          <a:ext cx="1143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571500</xdr:colOff>
      <xdr:row>0</xdr:row>
      <xdr:rowOff>0</xdr:rowOff>
    </xdr:from>
    <xdr:to>
      <xdr:col>13</xdr:col>
      <xdr:colOff>381000</xdr:colOff>
      <xdr:row>0</xdr:row>
      <xdr:rowOff>0</xdr:rowOff>
    </xdr:to>
    <xdr:sp macro="" textlink="">
      <xdr:nvSpPr>
        <xdr:cNvPr id="3" name="Line 2"/>
        <xdr:cNvSpPr>
          <a:spLocks noChangeShapeType="1"/>
        </xdr:cNvSpPr>
      </xdr:nvSpPr>
      <xdr:spPr bwMode="auto">
        <a:xfrm>
          <a:off x="2305050" y="0"/>
          <a:ext cx="1143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571500</xdr:colOff>
      <xdr:row>0</xdr:row>
      <xdr:rowOff>0</xdr:rowOff>
    </xdr:from>
    <xdr:to>
      <xdr:col>15</xdr:col>
      <xdr:colOff>381000</xdr:colOff>
      <xdr:row>0</xdr:row>
      <xdr:rowOff>0</xdr:rowOff>
    </xdr:to>
    <xdr:sp macro="" textlink="">
      <xdr:nvSpPr>
        <xdr:cNvPr id="4" name="Line 3"/>
        <xdr:cNvSpPr>
          <a:spLocks noChangeShapeType="1"/>
        </xdr:cNvSpPr>
      </xdr:nvSpPr>
      <xdr:spPr bwMode="auto">
        <a:xfrm>
          <a:off x="3048000" y="0"/>
          <a:ext cx="8001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16</xdr:col>
      <xdr:colOff>104775</xdr:colOff>
      <xdr:row>362</xdr:row>
      <xdr:rowOff>28575</xdr:rowOff>
    </xdr:from>
    <xdr:to>
      <xdr:col>17</xdr:col>
      <xdr:colOff>200025</xdr:colOff>
      <xdr:row>363</xdr:row>
      <xdr:rowOff>123825</xdr:rowOff>
    </xdr:to>
    <xdr:pic>
      <xdr:nvPicPr>
        <xdr:cNvPr id="5" name="Picture 8" descr="SCMAP-USAVOLLEYBALL_c"/>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52875" y="32937450"/>
          <a:ext cx="3429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37</xdr:col>
          <xdr:colOff>104775</xdr:colOff>
          <xdr:row>13</xdr:row>
          <xdr:rowOff>9525</xdr:rowOff>
        </xdr:from>
        <xdr:to>
          <xdr:col>42</xdr:col>
          <xdr:colOff>228600</xdr:colOff>
          <xdr:row>16</xdr:row>
          <xdr:rowOff>104775</xdr:rowOff>
        </xdr:to>
        <xdr:sp macro="" textlink="">
          <xdr:nvSpPr>
            <xdr:cNvPr id="34817" name="Pool1RecalcFinish" hidden="1">
              <a:extLst>
                <a:ext uri="{63B3BB69-23CF-44E3-9099-C40C66FF867C}">
                  <a14:compatExt spid="_x0000_s34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37</xdr:col>
          <xdr:colOff>104775</xdr:colOff>
          <xdr:row>98</xdr:row>
          <xdr:rowOff>9525</xdr:rowOff>
        </xdr:from>
        <xdr:to>
          <xdr:col>42</xdr:col>
          <xdr:colOff>228600</xdr:colOff>
          <xdr:row>101</xdr:row>
          <xdr:rowOff>104775</xdr:rowOff>
        </xdr:to>
        <xdr:sp macro="" textlink="">
          <xdr:nvSpPr>
            <xdr:cNvPr id="34818" name="Pool2RecalcFinish" hidden="1">
              <a:extLst>
                <a:ext uri="{63B3BB69-23CF-44E3-9099-C40C66FF867C}">
                  <a14:compatExt spid="_x0000_s34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37</xdr:col>
          <xdr:colOff>104775</xdr:colOff>
          <xdr:row>183</xdr:row>
          <xdr:rowOff>9525</xdr:rowOff>
        </xdr:from>
        <xdr:to>
          <xdr:col>42</xdr:col>
          <xdr:colOff>228600</xdr:colOff>
          <xdr:row>186</xdr:row>
          <xdr:rowOff>104775</xdr:rowOff>
        </xdr:to>
        <xdr:sp macro="" textlink="">
          <xdr:nvSpPr>
            <xdr:cNvPr id="34819" name="Pool3RecalcFinish" hidden="1">
              <a:extLst>
                <a:ext uri="{63B3BB69-23CF-44E3-9099-C40C66FF867C}">
                  <a14:compatExt spid="_x0000_s34819"/>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olleyball%20Stuff/Volleyball%20Pool%20Stuff/Master%20Blank%20Pool/Ranking%20Pool%20Shee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CSmasterTshirtSal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uments%20and%20Settings/Michael%20Vahjen/My%20Documents/Emai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Jimmy/Downloads/Ranking%20Pool%20Shee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Michael%20Vahjen/My%20Documents/adult%20regional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ocuments%20and%20Settings/Michael%20Vahjen/My%20Documents/CS02tryout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ample"/>
      <sheetName val="1 Pool Example"/>
      <sheetName val="2 Pool Example"/>
      <sheetName val="3 Pool 15 tms"/>
      <sheetName val="3 Pool - wide Example"/>
      <sheetName val="4 Pool example"/>
      <sheetName val="Expected Outcomes"/>
    </sheetNames>
    <sheetDataSet>
      <sheetData sheetId="0">
        <row r="2">
          <cell r="AS2">
            <v>32</v>
          </cell>
        </row>
        <row r="3">
          <cell r="AS3">
            <v>16</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Shirt Sales"/>
      <sheetName val="Master Consignment Sales (2)"/>
      <sheetName val="Master Consignment Sales"/>
      <sheetName val="Hillcrest"/>
      <sheetName val="VB sale Sheet"/>
      <sheetName val="Uniform Billing 03"/>
      <sheetName val="VB Inventory Sales"/>
      <sheetName val="OK.ACTIVATE_x000e_ASSIGN.TO.TOOL_x0000__x0009_COP"/>
      <sheetName val="1st Quar 2004"/>
      <sheetName val="4th quarter 03"/>
      <sheetName val="3rd quar 03"/>
      <sheetName val="Sales Records"/>
      <sheetName val="SC 04 big orders"/>
      <sheetName val="Orders"/>
      <sheetName val="Prices"/>
      <sheetName val="Consignment Sales"/>
      <sheetName val="Sheet1"/>
      <sheetName val=""/>
      <sheetName val="OK.ACTIVATE_x000e_ASSIGN.TO.TOOL?_x0009_COP"/>
      <sheetName val="OK.ACTIVATE_x000e_ASSIGN.TO.TOOL_x0000_ COP"/>
      <sheetName val="OK.ACTIVATE_x000e_ASSIGN.TO.TOOL? CO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S email addresses"/>
      <sheetName val="School Email by Region"/>
      <sheetName val="Sheet6"/>
      <sheetName val="Sheet5"/>
      <sheetName val="HIgh Sch"/>
      <sheetName val="Sheet4"/>
      <sheetName val="SC Clubs"/>
      <sheetName val="captains pva 02"/>
      <sheetName val="PVA BOD"/>
      <sheetName val="Va Clubs"/>
      <sheetName val="sports news"/>
      <sheetName val="referees"/>
      <sheetName val="Friends"/>
      <sheetName val="NC Clubs"/>
      <sheetName val="Tampa"/>
      <sheetName val="Ga.Clubs"/>
      <sheetName val="Ky Clubs"/>
      <sheetName val="Md clubs"/>
      <sheetName val="Tn clubs"/>
      <sheetName val="Ala Clubs"/>
      <sheetName val="College Web sites"/>
      <sheetName val="Sheet3"/>
      <sheetName val="Coll Coaches"/>
      <sheetName val="USAV"/>
      <sheetName val="2003 emails CS"/>
      <sheetName val="Sheet2"/>
      <sheetName val="Sheet1"/>
      <sheetName val="clash VB"/>
      <sheetName val="Com other "/>
      <sheetName val="CS sports em list"/>
      <sheetName val="VB mailing list"/>
      <sheetName val="VB Address"/>
      <sheetName val="Church League INFO"/>
      <sheetName val="SChool Prin and AD l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ample"/>
      <sheetName val="1 Pool Example"/>
      <sheetName val="2 Pool Example"/>
      <sheetName val="3 Pool 15 tms"/>
      <sheetName val="3 Pool - wide Example"/>
      <sheetName val="4 Pool example"/>
      <sheetName val="Expected Outcomes"/>
    </sheetNames>
    <sheetDataSet>
      <sheetData sheetId="0">
        <row r="2">
          <cell r="AS2">
            <v>32</v>
          </cell>
        </row>
        <row r="3">
          <cell r="AS3">
            <v>16</v>
          </cell>
        </row>
      </sheetData>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ym ck off"/>
      <sheetName val="Gym supervisor"/>
      <sheetName val="Mens B BB"/>
      <sheetName val="Mens A"/>
      <sheetName val="Example"/>
    </sheetNames>
    <sheetDataSet>
      <sheetData sheetId="0" refreshError="1"/>
      <sheetData sheetId="1" refreshError="1"/>
      <sheetData sheetId="2" refreshError="1"/>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 test"/>
      <sheetName val="Week1 (2)"/>
      <sheetName val="Sheet2"/>
      <sheetName val="Sheet3"/>
      <sheetName val="Sheet1"/>
      <sheetName val="evalua (2)"/>
      <sheetName val="Results wk1"/>
      <sheetName val="Week1"/>
      <sheetName val="Week 2"/>
      <sheetName val="Examp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7.xml.rels><?xml version="1.0" encoding="UTF-8" standalone="yes"?>
<Relationships xmlns="http://schemas.openxmlformats.org/package/2006/relationships"><Relationship Id="rId8" Type="http://schemas.openxmlformats.org/officeDocument/2006/relationships/control" Target="../activeX/activeX6.xml"/><Relationship Id="rId3" Type="http://schemas.openxmlformats.org/officeDocument/2006/relationships/vmlDrawing" Target="../drawings/vmlDrawing2.vml"/><Relationship Id="rId7" Type="http://schemas.openxmlformats.org/officeDocument/2006/relationships/image" Target="../media/image6.emf"/><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ntrol" Target="../activeX/activeX5.xml"/><Relationship Id="rId5" Type="http://schemas.openxmlformats.org/officeDocument/2006/relationships/image" Target="../media/image5.emf"/><Relationship Id="rId4" Type="http://schemas.openxmlformats.org/officeDocument/2006/relationships/control" Target="../activeX/activeX4.xml"/><Relationship Id="rId9" Type="http://schemas.openxmlformats.org/officeDocument/2006/relationships/image" Target="../media/image7.emf"/></Relationships>
</file>

<file path=xl/worksheets/_rels/sheet8.xml.rels><?xml version="1.0" encoding="UTF-8" standalone="yes"?>
<Relationships xmlns="http://schemas.openxmlformats.org/package/2006/relationships"><Relationship Id="rId8" Type="http://schemas.openxmlformats.org/officeDocument/2006/relationships/control" Target="../activeX/activeX9.xml"/><Relationship Id="rId3" Type="http://schemas.openxmlformats.org/officeDocument/2006/relationships/vmlDrawing" Target="../drawings/vmlDrawing3.vml"/><Relationship Id="rId7" Type="http://schemas.openxmlformats.org/officeDocument/2006/relationships/image" Target="../media/image9.emf"/><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control" Target="../activeX/activeX8.xml"/><Relationship Id="rId5" Type="http://schemas.openxmlformats.org/officeDocument/2006/relationships/image" Target="../media/image8.emf"/><Relationship Id="rId4" Type="http://schemas.openxmlformats.org/officeDocument/2006/relationships/control" Target="../activeX/activeX7.xml"/><Relationship Id="rId9" Type="http://schemas.openxmlformats.org/officeDocument/2006/relationships/image" Target="../media/image10.emf"/></Relationships>
</file>

<file path=xl/worksheets/_rels/sheet9.xml.rels><?xml version="1.0" encoding="UTF-8" standalone="yes"?>
<Relationships xmlns="http://schemas.openxmlformats.org/package/2006/relationships"><Relationship Id="rId8" Type="http://schemas.openxmlformats.org/officeDocument/2006/relationships/control" Target="../activeX/activeX12.xml"/><Relationship Id="rId3" Type="http://schemas.openxmlformats.org/officeDocument/2006/relationships/vmlDrawing" Target="../drawings/vmlDrawing4.vml"/><Relationship Id="rId7" Type="http://schemas.openxmlformats.org/officeDocument/2006/relationships/image" Target="../media/image12.emf"/><Relationship Id="rId2" Type="http://schemas.openxmlformats.org/officeDocument/2006/relationships/drawing" Target="../drawings/drawing4.xml"/><Relationship Id="rId1" Type="http://schemas.openxmlformats.org/officeDocument/2006/relationships/printerSettings" Target="../printerSettings/printerSettings6.bin"/><Relationship Id="rId6" Type="http://schemas.openxmlformats.org/officeDocument/2006/relationships/control" Target="../activeX/activeX11.xml"/><Relationship Id="rId5" Type="http://schemas.openxmlformats.org/officeDocument/2006/relationships/image" Target="../media/image11.emf"/><Relationship Id="rId4" Type="http://schemas.openxmlformats.org/officeDocument/2006/relationships/control" Target="../activeX/activeX10.xml"/><Relationship Id="rId9" Type="http://schemas.openxmlformats.org/officeDocument/2006/relationships/image" Target="../media/image13.emf"/></Relationships>
</file>

<file path=xl/worksheets/_rels/sheet10.xml.rels><?xml version="1.0" encoding="UTF-8" standalone="yes"?>
<Relationships xmlns="http://schemas.openxmlformats.org/package/2006/relationships"><Relationship Id="rId8" Type="http://schemas.openxmlformats.org/officeDocument/2006/relationships/control" Target="../activeX/activeX15.xml"/><Relationship Id="rId3" Type="http://schemas.openxmlformats.org/officeDocument/2006/relationships/vmlDrawing" Target="../drawings/vmlDrawing5.vml"/><Relationship Id="rId7" Type="http://schemas.openxmlformats.org/officeDocument/2006/relationships/image" Target="../media/image15.emf"/><Relationship Id="rId2" Type="http://schemas.openxmlformats.org/officeDocument/2006/relationships/drawing" Target="../drawings/drawing5.xml"/><Relationship Id="rId1" Type="http://schemas.openxmlformats.org/officeDocument/2006/relationships/printerSettings" Target="../printerSettings/printerSettings7.bin"/><Relationship Id="rId6" Type="http://schemas.openxmlformats.org/officeDocument/2006/relationships/control" Target="../activeX/activeX14.xml"/><Relationship Id="rId5" Type="http://schemas.openxmlformats.org/officeDocument/2006/relationships/image" Target="../media/image14.emf"/><Relationship Id="rId4" Type="http://schemas.openxmlformats.org/officeDocument/2006/relationships/control" Target="../activeX/activeX13.xml"/><Relationship Id="rId9" Type="http://schemas.openxmlformats.org/officeDocument/2006/relationships/image" Target="../media/image16.emf"/></Relationships>
</file>

<file path=xl/worksheets/_rels/sheet11.xml.rels><?xml version="1.0" encoding="UTF-8" standalone="yes"?>
<Relationships xmlns="http://schemas.openxmlformats.org/package/2006/relationships"><Relationship Id="rId1" Type="http://schemas.openxmlformats.org/officeDocument/2006/relationships/hyperlink" Target="https://aes1.advancedeventsystems.com/Event/Volleyball/EventTeamInfo.aspx?ZCruShzPjMGv6cuivzEZ3bdHnxan7utPe-38b2URl8mzU62jttSjG3kENzzLrFO5DJ2gC4tYCpITNOPe7kWQLp22OSbVlCGBuLUYcUJcvMs1mfXaIumiL4opmJlO0to20" TargetMode="External"/></Relationships>
</file>

<file path=xl/worksheets/_rels/sheet12.xml.rels><?xml version="1.0" encoding="UTF-8" standalone="yes"?>
<Relationships xmlns="http://schemas.openxmlformats.org/package/2006/relationships"><Relationship Id="rId1" Type="http://schemas.openxmlformats.org/officeDocument/2006/relationships/hyperlink" Target="https://aes1.advancedeventsystems.com/Event/Volleyball/EventTeamInfo.aspx?ZCruShzPjMGv6cuivzEZ3bdHnxan7utPe-38b2URl8mzU62jttSjG3kENzzLrFO5DJ2gC4tYCpITNOPe7kWQLp22OSbVlCGBuLUYcUJcvMs1mfXaIumiL4opmJlO0to20" TargetMode="External"/></Relationships>
</file>

<file path=xl/worksheets/_rels/sheet13.xml.rels><?xml version="1.0" encoding="UTF-8" standalone="yes"?>
<Relationships xmlns="http://schemas.openxmlformats.org/package/2006/relationships"><Relationship Id="rId1" Type="http://schemas.openxmlformats.org/officeDocument/2006/relationships/hyperlink" Target="https://aes1.advancedeventsystems.com/Event/Volleyball/EventTeamInfo.aspx?ZCruShzPjMGv6cuivzEZ3bdHnxan7utPe-38b2URl8mzU62jttSjG3kENzzLrFO5DJ2gC4tYCpITNOPe7kWQLp22OSbVlCGBuLUYcUJcvMs1mfXaIumiL4opmJlO0to2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L65"/>
  <sheetViews>
    <sheetView workbookViewId="0"/>
  </sheetViews>
  <sheetFormatPr defaultColWidth="8.85546875" defaultRowHeight="12.75"/>
  <cols>
    <col min="1" max="12" width="8.42578125" style="3" customWidth="1"/>
    <col min="13" max="16384" width="8.85546875" style="3"/>
  </cols>
  <sheetData>
    <row r="1" spans="1:12" ht="23.25" customHeight="1" thickBot="1">
      <c r="B1" s="19" t="s">
        <v>63</v>
      </c>
    </row>
    <row r="2" spans="1:12" ht="16.5" thickBot="1">
      <c r="A2" s="20" t="s">
        <v>64</v>
      </c>
      <c r="B2" s="21"/>
      <c r="C2" s="22"/>
      <c r="D2" s="23"/>
      <c r="E2" s="24"/>
      <c r="G2" s="25" t="s">
        <v>65</v>
      </c>
      <c r="H2" s="23"/>
      <c r="I2" s="23"/>
      <c r="J2" s="23"/>
      <c r="K2" s="229" t="s">
        <v>66</v>
      </c>
      <c r="L2" s="230"/>
    </row>
    <row r="3" spans="1:12" ht="13.5" thickBot="1">
      <c r="A3" s="26" t="s">
        <v>67</v>
      </c>
      <c r="K3" s="231"/>
      <c r="L3" s="232"/>
    </row>
    <row r="4" spans="1:12" ht="13.5" thickBot="1">
      <c r="A4" s="25" t="s">
        <v>68</v>
      </c>
      <c r="B4" s="23"/>
      <c r="C4" s="23"/>
      <c r="D4" s="23"/>
      <c r="E4" s="24"/>
      <c r="F4" s="27"/>
      <c r="G4" s="28"/>
      <c r="H4" s="29"/>
      <c r="I4" s="29" t="s">
        <v>15</v>
      </c>
      <c r="J4" s="29" t="s">
        <v>15</v>
      </c>
      <c r="K4" s="233"/>
      <c r="L4" s="234"/>
    </row>
    <row r="5" spans="1:12" ht="9" customHeight="1" thickBot="1">
      <c r="A5" s="30"/>
      <c r="B5" s="31"/>
      <c r="C5" s="31"/>
      <c r="D5" s="31"/>
      <c r="E5" s="31"/>
      <c r="F5" s="31"/>
      <c r="G5" s="30"/>
      <c r="H5" s="31"/>
      <c r="I5" s="31"/>
    </row>
    <row r="6" spans="1:12" ht="13.5" thickBot="1">
      <c r="A6" s="25" t="s">
        <v>69</v>
      </c>
      <c r="B6" s="23"/>
      <c r="C6" s="23"/>
      <c r="D6" s="32"/>
      <c r="E6" s="23"/>
      <c r="F6" s="24"/>
      <c r="G6" s="31"/>
      <c r="H6" s="31"/>
    </row>
    <row r="7" spans="1:12" ht="7.5" customHeight="1"/>
    <row r="8" spans="1:12" ht="13.5" thickBot="1">
      <c r="A8" s="33" t="s">
        <v>70</v>
      </c>
      <c r="F8" s="34" t="s">
        <v>71</v>
      </c>
    </row>
    <row r="9" spans="1:12" ht="13.5" thickBot="1">
      <c r="A9" s="35"/>
      <c r="B9" s="235" t="s">
        <v>72</v>
      </c>
      <c r="C9" s="236"/>
      <c r="D9" s="237"/>
      <c r="E9" s="10"/>
      <c r="F9" s="10"/>
      <c r="G9" s="235" t="s">
        <v>73</v>
      </c>
      <c r="H9" s="236"/>
      <c r="I9" s="237"/>
      <c r="K9" s="238" t="s">
        <v>74</v>
      </c>
      <c r="L9" s="239"/>
    </row>
    <row r="10" spans="1:12" ht="24" customHeight="1" thickBot="1">
      <c r="B10" s="22"/>
      <c r="C10" s="23"/>
      <c r="D10" s="24"/>
      <c r="E10" s="10"/>
      <c r="F10" s="10"/>
      <c r="G10" s="22"/>
      <c r="H10" s="23"/>
      <c r="I10" s="24"/>
      <c r="K10" s="240"/>
      <c r="L10" s="241"/>
    </row>
    <row r="11" spans="1:12" ht="15.75" thickBot="1">
      <c r="B11" s="235" t="s">
        <v>75</v>
      </c>
      <c r="C11" s="236"/>
      <c r="D11" s="237"/>
      <c r="E11" s="10"/>
      <c r="F11" s="10"/>
      <c r="G11" s="244"/>
      <c r="H11" s="245"/>
      <c r="I11" s="245"/>
      <c r="K11" s="240"/>
      <c r="L11" s="241"/>
    </row>
    <row r="12" spans="1:12" ht="22.5" customHeight="1" thickBot="1">
      <c r="B12" s="36"/>
      <c r="C12" s="37"/>
      <c r="D12" s="38"/>
      <c r="E12" s="10"/>
      <c r="F12" s="10"/>
      <c r="G12" s="36"/>
      <c r="H12" s="37"/>
      <c r="I12" s="38"/>
      <c r="K12" s="240"/>
      <c r="L12" s="241"/>
    </row>
    <row r="13" spans="1:12" ht="15.75" customHeight="1">
      <c r="C13" s="39" t="s">
        <v>76</v>
      </c>
      <c r="E13" s="10"/>
      <c r="F13" s="10"/>
      <c r="H13" s="3" t="s">
        <v>77</v>
      </c>
      <c r="K13" s="240"/>
      <c r="L13" s="241"/>
    </row>
    <row r="14" spans="1:12" ht="16.5" customHeight="1" thickBot="1">
      <c r="B14" s="34" t="s">
        <v>36</v>
      </c>
      <c r="C14" s="40"/>
      <c r="E14" s="10"/>
      <c r="F14" s="10"/>
      <c r="H14" s="40"/>
      <c r="K14" s="242"/>
      <c r="L14" s="243"/>
    </row>
    <row r="15" spans="1:12" ht="16.5" customHeight="1" thickBot="1">
      <c r="B15" s="34" t="s">
        <v>49</v>
      </c>
      <c r="C15" s="40"/>
      <c r="E15" s="10"/>
      <c r="F15" s="10"/>
      <c r="H15" s="40"/>
    </row>
    <row r="16" spans="1:12" ht="16.5" customHeight="1" thickTop="1" thickBot="1">
      <c r="B16" s="34" t="s">
        <v>15</v>
      </c>
      <c r="C16" s="41"/>
      <c r="D16" s="223" t="s">
        <v>15</v>
      </c>
      <c r="E16" s="224"/>
      <c r="F16" s="225"/>
      <c r="H16" s="42"/>
    </row>
    <row r="17" spans="1:12" ht="14.25" thickTop="1" thickBot="1">
      <c r="A17" s="226" t="s">
        <v>78</v>
      </c>
      <c r="B17" s="227"/>
      <c r="C17" s="227"/>
      <c r="D17" s="227"/>
      <c r="E17" s="227"/>
      <c r="F17" s="227"/>
      <c r="G17" s="227"/>
      <c r="H17" s="227"/>
      <c r="I17" s="227"/>
      <c r="J17" s="228"/>
    </row>
    <row r="18" spans="1:12" ht="13.5" thickBot="1">
      <c r="A18" s="43"/>
      <c r="B18" s="44"/>
      <c r="C18" s="44"/>
      <c r="D18" s="44"/>
      <c r="E18" s="44"/>
      <c r="F18" s="44"/>
      <c r="G18" s="44"/>
      <c r="H18" s="44"/>
      <c r="I18" s="44"/>
      <c r="J18" s="45"/>
      <c r="K18" s="46"/>
      <c r="L18" s="46"/>
    </row>
    <row r="19" spans="1:12">
      <c r="A19" s="47"/>
      <c r="B19" s="48"/>
      <c r="C19" s="48"/>
      <c r="D19" s="48"/>
      <c r="E19" s="48"/>
      <c r="F19" s="48"/>
      <c r="G19" s="48"/>
      <c r="H19" s="48"/>
      <c r="I19" s="48"/>
      <c r="J19" s="49"/>
      <c r="K19" s="46"/>
      <c r="L19" s="46"/>
    </row>
    <row r="20" spans="1:12" ht="10.5" customHeight="1">
      <c r="A20" s="50"/>
      <c r="B20" s="51"/>
      <c r="C20" s="51"/>
      <c r="D20" s="51"/>
      <c r="E20" s="51"/>
      <c r="F20" s="51"/>
      <c r="G20" s="51"/>
      <c r="H20" s="51"/>
      <c r="I20" s="51"/>
      <c r="J20" s="52"/>
      <c r="K20" s="46"/>
      <c r="L20" s="46"/>
    </row>
    <row r="21" spans="1:12" ht="10.5" customHeight="1" thickBot="1">
      <c r="A21" s="53"/>
      <c r="B21" s="54"/>
      <c r="C21" s="54"/>
      <c r="D21" s="54"/>
      <c r="E21" s="54"/>
      <c r="F21" s="54"/>
      <c r="G21" s="54"/>
      <c r="H21" s="54"/>
      <c r="I21" s="54"/>
      <c r="J21" s="55"/>
      <c r="K21" s="46"/>
      <c r="L21" s="46"/>
    </row>
    <row r="22" spans="1:12" ht="10.5" customHeight="1">
      <c r="A22" s="56"/>
      <c r="B22" s="56"/>
      <c r="C22" s="56"/>
      <c r="D22" s="56"/>
      <c r="E22" s="56"/>
      <c r="F22" s="56"/>
      <c r="G22" s="56"/>
      <c r="H22" s="56"/>
      <c r="I22" s="56"/>
      <c r="J22" s="56"/>
      <c r="K22" s="56"/>
      <c r="L22" s="56"/>
    </row>
    <row r="23" spans="1:12" ht="24" customHeight="1" thickBot="1">
      <c r="B23" s="19" t="s">
        <v>63</v>
      </c>
    </row>
    <row r="24" spans="1:12" ht="16.5" customHeight="1" thickBot="1">
      <c r="A24" s="20" t="s">
        <v>64</v>
      </c>
      <c r="B24" s="21"/>
      <c r="C24" s="22"/>
      <c r="D24" s="23"/>
      <c r="E24" s="24"/>
      <c r="G24" s="25" t="s">
        <v>65</v>
      </c>
      <c r="H24" s="23"/>
      <c r="I24" s="23"/>
      <c r="J24" s="23"/>
      <c r="K24" s="229" t="s">
        <v>66</v>
      </c>
      <c r="L24" s="230"/>
    </row>
    <row r="25" spans="1:12" ht="9.75" customHeight="1" thickBot="1">
      <c r="A25" s="26" t="s">
        <v>67</v>
      </c>
      <c r="K25" s="231"/>
      <c r="L25" s="232"/>
    </row>
    <row r="26" spans="1:12" ht="13.5" customHeight="1" thickBot="1">
      <c r="A26" s="25" t="s">
        <v>68</v>
      </c>
      <c r="B26" s="23"/>
      <c r="C26" s="23"/>
      <c r="D26" s="23"/>
      <c r="E26" s="24"/>
      <c r="F26" s="27"/>
      <c r="G26" s="28"/>
      <c r="H26" s="29"/>
      <c r="I26" s="29" t="s">
        <v>15</v>
      </c>
      <c r="J26" s="29" t="s">
        <v>15</v>
      </c>
      <c r="K26" s="233"/>
      <c r="L26" s="234"/>
    </row>
    <row r="27" spans="1:12" ht="8.25" customHeight="1" thickBot="1">
      <c r="A27" s="30"/>
      <c r="B27" s="31"/>
      <c r="C27" s="31"/>
      <c r="D27" s="31"/>
      <c r="E27" s="31"/>
      <c r="F27" s="31"/>
      <c r="G27" s="30"/>
      <c r="H27" s="31"/>
      <c r="I27" s="31"/>
    </row>
    <row r="28" spans="1:12" ht="13.5" thickBot="1">
      <c r="A28" s="25" t="s">
        <v>69</v>
      </c>
      <c r="B28" s="23"/>
      <c r="C28" s="23"/>
      <c r="D28" s="32"/>
      <c r="E28" s="23"/>
      <c r="F28" s="24"/>
      <c r="G28" s="31"/>
      <c r="H28" s="31"/>
    </row>
    <row r="29" spans="1:12" ht="6" customHeight="1"/>
    <row r="30" spans="1:12" ht="13.5" thickBot="1">
      <c r="A30" s="33" t="s">
        <v>70</v>
      </c>
      <c r="F30" s="34" t="s">
        <v>71</v>
      </c>
    </row>
    <row r="31" spans="1:12" ht="13.5" customHeight="1" thickBot="1">
      <c r="A31" s="35"/>
      <c r="B31" s="235" t="s">
        <v>72</v>
      </c>
      <c r="C31" s="236"/>
      <c r="D31" s="237"/>
      <c r="E31" s="10"/>
      <c r="F31" s="10"/>
      <c r="G31" s="235" t="s">
        <v>73</v>
      </c>
      <c r="H31" s="236"/>
      <c r="I31" s="237"/>
      <c r="K31" s="238" t="s">
        <v>74</v>
      </c>
      <c r="L31" s="239"/>
    </row>
    <row r="32" spans="1:12" ht="21.75" customHeight="1" thickBot="1">
      <c r="B32" s="22"/>
      <c r="C32" s="23"/>
      <c r="D32" s="24"/>
      <c r="E32" s="10"/>
      <c r="F32" s="10"/>
      <c r="G32" s="22"/>
      <c r="H32" s="23"/>
      <c r="I32" s="24"/>
      <c r="K32" s="240"/>
      <c r="L32" s="241"/>
    </row>
    <row r="33" spans="1:12" ht="15.75" thickBot="1">
      <c r="B33" s="235" t="s">
        <v>75</v>
      </c>
      <c r="C33" s="236"/>
      <c r="D33" s="237"/>
      <c r="E33" s="10"/>
      <c r="F33" s="10"/>
      <c r="G33" s="244"/>
      <c r="H33" s="245"/>
      <c r="I33" s="245"/>
      <c r="K33" s="240"/>
      <c r="L33" s="241"/>
    </row>
    <row r="34" spans="1:12" ht="20.25" customHeight="1" thickBot="1">
      <c r="B34" s="36"/>
      <c r="C34" s="37"/>
      <c r="D34" s="38"/>
      <c r="E34" s="10"/>
      <c r="F34" s="10"/>
      <c r="G34" s="36"/>
      <c r="H34" s="37"/>
      <c r="I34" s="38"/>
      <c r="K34" s="240"/>
      <c r="L34" s="241"/>
    </row>
    <row r="35" spans="1:12">
      <c r="C35" s="39" t="s">
        <v>76</v>
      </c>
      <c r="E35" s="10"/>
      <c r="F35" s="10"/>
      <c r="H35" s="3" t="s">
        <v>77</v>
      </c>
      <c r="K35" s="240"/>
      <c r="L35" s="241"/>
    </row>
    <row r="36" spans="1:12" ht="18" customHeight="1" thickBot="1">
      <c r="B36" s="34" t="s">
        <v>36</v>
      </c>
      <c r="C36" s="40"/>
      <c r="E36" s="10"/>
      <c r="F36" s="10"/>
      <c r="H36" s="40"/>
      <c r="K36" s="242"/>
      <c r="L36" s="243"/>
    </row>
    <row r="37" spans="1:12" ht="18" customHeight="1" thickBot="1">
      <c r="B37" s="34" t="s">
        <v>49</v>
      </c>
      <c r="C37" s="40"/>
      <c r="E37" s="10"/>
      <c r="F37" s="10"/>
      <c r="H37" s="40"/>
    </row>
    <row r="38" spans="1:12" ht="18" customHeight="1" thickTop="1" thickBot="1">
      <c r="B38" s="34" t="s">
        <v>15</v>
      </c>
      <c r="C38" s="41"/>
      <c r="D38" s="223" t="s">
        <v>15</v>
      </c>
      <c r="E38" s="224"/>
      <c r="F38" s="225"/>
      <c r="H38" s="42"/>
    </row>
    <row r="39" spans="1:12" ht="13.5" customHeight="1" thickTop="1" thickBot="1">
      <c r="A39" s="226" t="s">
        <v>78</v>
      </c>
      <c r="B39" s="227"/>
      <c r="C39" s="227"/>
      <c r="D39" s="227"/>
      <c r="E39" s="227"/>
      <c r="F39" s="227"/>
      <c r="G39" s="227"/>
      <c r="H39" s="227"/>
      <c r="I39" s="227"/>
      <c r="J39" s="228"/>
    </row>
    <row r="40" spans="1:12" ht="13.5" thickBot="1">
      <c r="A40" s="43"/>
      <c r="B40" s="44"/>
      <c r="C40" s="44"/>
      <c r="D40" s="44"/>
      <c r="E40" s="44"/>
      <c r="F40" s="44"/>
      <c r="G40" s="44"/>
      <c r="H40" s="44"/>
      <c r="I40" s="44"/>
      <c r="J40" s="45"/>
      <c r="K40" s="46"/>
      <c r="L40" s="46"/>
    </row>
    <row r="41" spans="1:12" ht="10.5" customHeight="1">
      <c r="A41" s="47"/>
      <c r="B41" s="48"/>
      <c r="C41" s="48"/>
      <c r="D41" s="48"/>
      <c r="E41" s="48"/>
      <c r="F41" s="48"/>
      <c r="G41" s="48"/>
      <c r="H41" s="48"/>
      <c r="I41" s="48"/>
      <c r="J41" s="49"/>
      <c r="K41" s="46"/>
      <c r="L41" s="46"/>
    </row>
    <row r="42" spans="1:12" ht="10.5" customHeight="1">
      <c r="A42" s="50"/>
      <c r="B42" s="51"/>
      <c r="C42" s="51"/>
      <c r="D42" s="51"/>
      <c r="E42" s="51"/>
      <c r="F42" s="51"/>
      <c r="G42" s="51"/>
      <c r="H42" s="51"/>
      <c r="I42" s="51"/>
      <c r="J42" s="52"/>
      <c r="K42" s="46"/>
      <c r="L42" s="46"/>
    </row>
    <row r="43" spans="1:12" ht="10.5" customHeight="1" thickBot="1">
      <c r="A43" s="53"/>
      <c r="B43" s="54"/>
      <c r="C43" s="54"/>
      <c r="D43" s="54"/>
      <c r="E43" s="54"/>
      <c r="F43" s="54"/>
      <c r="G43" s="54"/>
      <c r="H43" s="54"/>
      <c r="I43" s="54"/>
      <c r="J43" s="55"/>
      <c r="K43" s="46"/>
      <c r="L43" s="46"/>
    </row>
    <row r="44" spans="1:12" ht="10.5" customHeight="1">
      <c r="A44" s="56"/>
      <c r="B44" s="56"/>
      <c r="C44" s="56"/>
      <c r="D44" s="56"/>
      <c r="E44" s="56"/>
      <c r="F44" s="56"/>
      <c r="G44" s="56"/>
      <c r="H44" s="56"/>
      <c r="I44" s="56"/>
      <c r="J44" s="56"/>
      <c r="K44" s="56"/>
      <c r="L44" s="56"/>
    </row>
    <row r="45" spans="1:12" ht="21.75" customHeight="1" thickBot="1">
      <c r="B45" s="19" t="s">
        <v>63</v>
      </c>
    </row>
    <row r="46" spans="1:12" ht="16.5" customHeight="1" thickBot="1">
      <c r="A46" s="20" t="s">
        <v>64</v>
      </c>
      <c r="B46" s="21"/>
      <c r="C46" s="22"/>
      <c r="D46" s="23"/>
      <c r="E46" s="24"/>
      <c r="G46" s="25" t="s">
        <v>65</v>
      </c>
      <c r="H46" s="23"/>
      <c r="I46" s="23"/>
      <c r="J46" s="23"/>
      <c r="K46" s="229" t="s">
        <v>66</v>
      </c>
      <c r="L46" s="230"/>
    </row>
    <row r="47" spans="1:12" ht="13.5" customHeight="1" thickBot="1">
      <c r="A47" s="26" t="s">
        <v>67</v>
      </c>
      <c r="K47" s="231"/>
      <c r="L47" s="232"/>
    </row>
    <row r="48" spans="1:12" ht="13.5" customHeight="1" thickBot="1">
      <c r="A48" s="25" t="s">
        <v>68</v>
      </c>
      <c r="B48" s="23"/>
      <c r="C48" s="23"/>
      <c r="D48" s="23"/>
      <c r="E48" s="24"/>
      <c r="F48" s="27"/>
      <c r="G48" s="28"/>
      <c r="H48" s="29"/>
      <c r="I48" s="29" t="s">
        <v>15</v>
      </c>
      <c r="J48" s="29" t="s">
        <v>15</v>
      </c>
      <c r="K48" s="233"/>
      <c r="L48" s="234"/>
    </row>
    <row r="49" spans="1:12" ht="7.5" customHeight="1" thickBot="1">
      <c r="A49" s="30"/>
      <c r="B49" s="31"/>
      <c r="C49" s="31"/>
      <c r="D49" s="31"/>
      <c r="E49" s="31"/>
      <c r="F49" s="31"/>
      <c r="G49" s="30"/>
      <c r="H49" s="31"/>
      <c r="I49" s="31"/>
    </row>
    <row r="50" spans="1:12" ht="13.5" thickBot="1">
      <c r="A50" s="25" t="s">
        <v>69</v>
      </c>
      <c r="B50" s="23"/>
      <c r="C50" s="23"/>
      <c r="D50" s="32"/>
      <c r="E50" s="23"/>
      <c r="F50" s="24"/>
      <c r="G50" s="31"/>
      <c r="H50" s="31"/>
    </row>
    <row r="51" spans="1:12" ht="8.25" customHeight="1"/>
    <row r="52" spans="1:12" ht="13.5" thickBot="1">
      <c r="A52" s="33" t="s">
        <v>70</v>
      </c>
      <c r="F52" s="34" t="s">
        <v>71</v>
      </c>
    </row>
    <row r="53" spans="1:12" ht="13.5" customHeight="1" thickBot="1">
      <c r="A53" s="35"/>
      <c r="B53" s="235" t="s">
        <v>72</v>
      </c>
      <c r="C53" s="236"/>
      <c r="D53" s="237"/>
      <c r="E53" s="10"/>
      <c r="F53" s="10"/>
      <c r="G53" s="235" t="s">
        <v>73</v>
      </c>
      <c r="H53" s="236"/>
      <c r="I53" s="237"/>
      <c r="K53" s="238" t="s">
        <v>74</v>
      </c>
      <c r="L53" s="239"/>
    </row>
    <row r="54" spans="1:12" ht="20.25" customHeight="1" thickBot="1">
      <c r="B54" s="22"/>
      <c r="C54" s="23"/>
      <c r="D54" s="24"/>
      <c r="E54" s="10"/>
      <c r="F54" s="10"/>
      <c r="G54" s="22"/>
      <c r="H54" s="23"/>
      <c r="I54" s="24"/>
      <c r="K54" s="240"/>
      <c r="L54" s="241"/>
    </row>
    <row r="55" spans="1:12" ht="15.75" thickBot="1">
      <c r="B55" s="235" t="s">
        <v>75</v>
      </c>
      <c r="C55" s="236"/>
      <c r="D55" s="237"/>
      <c r="E55" s="10"/>
      <c r="F55" s="10"/>
      <c r="G55" s="244"/>
      <c r="H55" s="245"/>
      <c r="I55" s="245"/>
      <c r="K55" s="240"/>
      <c r="L55" s="241"/>
    </row>
    <row r="56" spans="1:12" ht="22.5" customHeight="1" thickBot="1">
      <c r="B56" s="36"/>
      <c r="C56" s="37"/>
      <c r="D56" s="38"/>
      <c r="E56" s="10"/>
      <c r="F56" s="10"/>
      <c r="G56" s="36"/>
      <c r="H56" s="37"/>
      <c r="I56" s="38"/>
      <c r="K56" s="240"/>
      <c r="L56" s="241"/>
    </row>
    <row r="57" spans="1:12">
      <c r="C57" s="39" t="s">
        <v>76</v>
      </c>
      <c r="E57" s="10"/>
      <c r="F57" s="10"/>
      <c r="H57" s="3" t="s">
        <v>77</v>
      </c>
      <c r="K57" s="240"/>
      <c r="L57" s="241"/>
    </row>
    <row r="58" spans="1:12" ht="20.25" customHeight="1" thickBot="1">
      <c r="B58" s="34" t="s">
        <v>36</v>
      </c>
      <c r="C58" s="40"/>
      <c r="E58" s="10"/>
      <c r="F58" s="10"/>
      <c r="H58" s="40"/>
      <c r="K58" s="242"/>
      <c r="L58" s="243"/>
    </row>
    <row r="59" spans="1:12" ht="20.25" customHeight="1" thickBot="1">
      <c r="B59" s="34" t="s">
        <v>49</v>
      </c>
      <c r="C59" s="40"/>
      <c r="E59" s="10"/>
      <c r="F59" s="10"/>
      <c r="H59" s="40"/>
    </row>
    <row r="60" spans="1:12" ht="20.25" customHeight="1" thickTop="1" thickBot="1">
      <c r="B60" s="34" t="s">
        <v>15</v>
      </c>
      <c r="C60" s="41"/>
      <c r="D60" s="223" t="s">
        <v>15</v>
      </c>
      <c r="E60" s="224"/>
      <c r="F60" s="225"/>
      <c r="H60" s="42"/>
    </row>
    <row r="61" spans="1:12" ht="12.95" customHeight="1" thickTop="1" thickBot="1">
      <c r="A61" s="226" t="s">
        <v>78</v>
      </c>
      <c r="B61" s="227"/>
      <c r="C61" s="227"/>
      <c r="D61" s="227"/>
      <c r="E61" s="227"/>
      <c r="F61" s="227"/>
      <c r="G61" s="227"/>
      <c r="H61" s="227"/>
      <c r="I61" s="227"/>
      <c r="J61" s="228"/>
    </row>
    <row r="62" spans="1:12" ht="13.5" thickBot="1">
      <c r="A62" s="43"/>
      <c r="B62" s="44"/>
      <c r="C62" s="44"/>
      <c r="D62" s="44"/>
      <c r="E62" s="44"/>
      <c r="F62" s="44"/>
      <c r="G62" s="44"/>
      <c r="H62" s="44"/>
      <c r="I62" s="44"/>
      <c r="J62" s="45"/>
      <c r="K62" s="46"/>
      <c r="L62" s="46"/>
    </row>
    <row r="63" spans="1:12">
      <c r="A63" s="47"/>
      <c r="B63" s="48"/>
      <c r="C63" s="48"/>
      <c r="D63" s="48"/>
      <c r="E63" s="48"/>
      <c r="F63" s="48"/>
      <c r="G63" s="48"/>
      <c r="H63" s="48"/>
      <c r="I63" s="48"/>
      <c r="J63" s="49"/>
      <c r="K63" s="46"/>
      <c r="L63" s="46"/>
    </row>
    <row r="64" spans="1:12">
      <c r="A64" s="50"/>
      <c r="B64" s="51"/>
      <c r="C64" s="51"/>
      <c r="D64" s="51"/>
      <c r="E64" s="51"/>
      <c r="F64" s="51"/>
      <c r="G64" s="51"/>
      <c r="H64" s="51"/>
      <c r="I64" s="51"/>
      <c r="J64" s="52"/>
      <c r="K64" s="46"/>
      <c r="L64" s="46"/>
    </row>
    <row r="65" spans="1:12" ht="13.5" thickBot="1">
      <c r="A65" s="53"/>
      <c r="B65" s="54"/>
      <c r="C65" s="54"/>
      <c r="D65" s="54"/>
      <c r="E65" s="54"/>
      <c r="F65" s="54"/>
      <c r="G65" s="54"/>
      <c r="H65" s="54"/>
      <c r="I65" s="54"/>
      <c r="J65" s="55"/>
      <c r="K65" s="46"/>
      <c r="L65" s="46"/>
    </row>
  </sheetData>
  <mergeCells count="24">
    <mergeCell ref="K2:L4"/>
    <mergeCell ref="B9:D9"/>
    <mergeCell ref="G9:I9"/>
    <mergeCell ref="K9:L14"/>
    <mergeCell ref="B11:D11"/>
    <mergeCell ref="G11:I11"/>
    <mergeCell ref="D16:F16"/>
    <mergeCell ref="A17:J17"/>
    <mergeCell ref="K24:L26"/>
    <mergeCell ref="B31:D31"/>
    <mergeCell ref="G31:I31"/>
    <mergeCell ref="K31:L36"/>
    <mergeCell ref="B33:D33"/>
    <mergeCell ref="G33:I33"/>
    <mergeCell ref="D60:F60"/>
    <mergeCell ref="A61:J61"/>
    <mergeCell ref="D38:F38"/>
    <mergeCell ref="A39:J39"/>
    <mergeCell ref="K46:L48"/>
    <mergeCell ref="B53:D53"/>
    <mergeCell ref="G53:I53"/>
    <mergeCell ref="K53:L58"/>
    <mergeCell ref="B55:D55"/>
    <mergeCell ref="G55:I55"/>
  </mergeCells>
  <pageMargins left="0.2" right="0.2" top="0.25" bottom="0.25" header="0.3" footer="0.3"/>
  <pageSetup scale="8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J49"/>
  <sheetViews>
    <sheetView topLeftCell="A4" zoomScale="90" zoomScaleNormal="90" workbookViewId="0">
      <selection activeCell="B5" sqref="B5"/>
    </sheetView>
  </sheetViews>
  <sheetFormatPr defaultRowHeight="18"/>
  <cols>
    <col min="1" max="1" width="5.42578125" style="1" customWidth="1"/>
    <col min="2" max="2" width="140.7109375" style="5" customWidth="1"/>
    <col min="3" max="3" width="73.85546875" style="1" customWidth="1"/>
    <col min="4" max="10" width="9.140625" style="10"/>
    <col min="11" max="16384" width="9.140625" style="3"/>
  </cols>
  <sheetData>
    <row r="1" spans="1:3" s="3" customFormat="1" ht="25.5">
      <c r="A1" s="1"/>
      <c r="B1" s="2" t="s">
        <v>50</v>
      </c>
      <c r="C1" s="1"/>
    </row>
    <row r="2" spans="1:3" s="3" customFormat="1" ht="27">
      <c r="A2" s="1"/>
      <c r="B2" s="4" t="s">
        <v>51</v>
      </c>
      <c r="C2" s="1"/>
    </row>
    <row r="3" spans="1:3">
      <c r="B3" s="61" t="s">
        <v>307</v>
      </c>
    </row>
    <row r="4" spans="1:3" s="3" customFormat="1" ht="36.6" customHeight="1">
      <c r="A4" s="1"/>
      <c r="B4" s="217" t="s">
        <v>288</v>
      </c>
      <c r="C4" s="1"/>
    </row>
    <row r="7" spans="1:3" s="3" customFormat="1">
      <c r="A7" s="1"/>
      <c r="B7" s="6" t="s">
        <v>97</v>
      </c>
      <c r="C7" s="1"/>
    </row>
    <row r="8" spans="1:3" s="3" customFormat="1">
      <c r="A8" s="1"/>
      <c r="B8" s="6"/>
      <c r="C8" s="1"/>
    </row>
    <row r="9" spans="1:3" s="3" customFormat="1">
      <c r="A9" s="1"/>
      <c r="B9" s="7" t="s">
        <v>52</v>
      </c>
      <c r="C9" s="1"/>
    </row>
    <row r="10" spans="1:3" s="3" customFormat="1" ht="20.25">
      <c r="A10" s="1"/>
      <c r="B10" s="8" t="s">
        <v>53</v>
      </c>
      <c r="C10" s="1"/>
    </row>
    <row r="11" spans="1:3" s="3" customFormat="1" ht="20.25">
      <c r="A11" s="1"/>
      <c r="B11" s="8"/>
      <c r="C11" s="1"/>
    </row>
    <row r="12" spans="1:3" s="3" customFormat="1" ht="40.5">
      <c r="A12" s="1"/>
      <c r="B12" s="8" t="s">
        <v>54</v>
      </c>
      <c r="C12" s="1"/>
    </row>
    <row r="13" spans="1:3" s="3" customFormat="1" ht="20.25">
      <c r="A13" s="1"/>
      <c r="B13" s="8"/>
      <c r="C13" s="1"/>
    </row>
    <row r="14" spans="1:3" s="3" customFormat="1" ht="20.25">
      <c r="A14" s="1"/>
      <c r="B14" s="8" t="s">
        <v>55</v>
      </c>
      <c r="C14" s="1"/>
    </row>
    <row r="15" spans="1:3" s="3" customFormat="1" ht="20.25">
      <c r="A15" s="1"/>
      <c r="B15" s="8"/>
      <c r="C15" s="1"/>
    </row>
    <row r="16" spans="1:3" s="3" customFormat="1" ht="40.5">
      <c r="A16" s="1"/>
      <c r="B16" s="8" t="s">
        <v>56</v>
      </c>
      <c r="C16" s="1"/>
    </row>
    <row r="17" spans="2:10" ht="20.25">
      <c r="B17" s="8"/>
      <c r="D17" s="3"/>
      <c r="E17" s="3"/>
      <c r="F17" s="3"/>
      <c r="G17" s="3"/>
      <c r="H17" s="3"/>
      <c r="I17" s="3"/>
      <c r="J17" s="3"/>
    </row>
    <row r="18" spans="2:10" ht="20.25">
      <c r="B18" s="8" t="s">
        <v>57</v>
      </c>
      <c r="D18" s="3"/>
      <c r="E18" s="3"/>
      <c r="F18" s="3"/>
      <c r="G18" s="3"/>
      <c r="H18" s="3"/>
      <c r="I18" s="3"/>
      <c r="J18" s="3"/>
    </row>
    <row r="19" spans="2:10" ht="20.25">
      <c r="B19" s="8"/>
      <c r="D19" s="3"/>
      <c r="E19" s="3"/>
      <c r="F19" s="3"/>
      <c r="G19" s="3"/>
      <c r="H19" s="3"/>
      <c r="I19" s="3"/>
      <c r="J19" s="3"/>
    </row>
    <row r="20" spans="2:10" ht="20.25">
      <c r="B20" s="8" t="s">
        <v>58</v>
      </c>
      <c r="D20" s="3"/>
      <c r="E20" s="3"/>
      <c r="F20" s="3"/>
      <c r="G20" s="3"/>
      <c r="H20" s="3"/>
      <c r="I20" s="3"/>
      <c r="J20" s="3"/>
    </row>
    <row r="21" spans="2:10" ht="20.25">
      <c r="B21" s="8"/>
      <c r="D21" s="3"/>
      <c r="E21" s="3"/>
      <c r="F21" s="3"/>
      <c r="G21" s="3"/>
      <c r="H21" s="3"/>
      <c r="I21" s="3"/>
      <c r="J21" s="3"/>
    </row>
    <row r="22" spans="2:10" ht="20.25">
      <c r="B22" s="8" t="s">
        <v>59</v>
      </c>
      <c r="D22" s="3"/>
      <c r="E22" s="3"/>
      <c r="F22" s="3"/>
      <c r="G22" s="3"/>
      <c r="H22" s="3"/>
      <c r="I22" s="3"/>
      <c r="J22" s="3"/>
    </row>
    <row r="23" spans="2:10" ht="20.25">
      <c r="B23" s="8"/>
      <c r="D23" s="3"/>
      <c r="E23" s="3"/>
      <c r="F23" s="3"/>
      <c r="G23" s="3"/>
      <c r="H23" s="3"/>
      <c r="I23" s="3"/>
      <c r="J23" s="3"/>
    </row>
    <row r="24" spans="2:10" ht="20.25">
      <c r="B24" s="9" t="s">
        <v>60</v>
      </c>
      <c r="D24" s="3"/>
      <c r="E24" s="3"/>
      <c r="F24" s="3"/>
      <c r="G24" s="3"/>
      <c r="H24" s="3"/>
      <c r="I24" s="3"/>
      <c r="J24" s="3"/>
    </row>
    <row r="25" spans="2:10" ht="20.25">
      <c r="B25" s="9" t="s">
        <v>61</v>
      </c>
    </row>
    <row r="26" spans="2:10" ht="20.25">
      <c r="B26" s="11"/>
      <c r="D26" s="3"/>
      <c r="E26" s="3"/>
      <c r="F26" s="3"/>
      <c r="G26" s="3"/>
      <c r="H26" s="3"/>
      <c r="I26" s="3"/>
      <c r="J26" s="3"/>
    </row>
    <row r="27" spans="2:10" ht="40.5">
      <c r="B27" s="12" t="s">
        <v>62</v>
      </c>
      <c r="D27" s="3"/>
      <c r="E27" s="3"/>
      <c r="F27" s="3"/>
      <c r="G27" s="3"/>
      <c r="H27" s="3"/>
      <c r="I27" s="3"/>
      <c r="J27" s="3"/>
    </row>
    <row r="28" spans="2:10" ht="20.25">
      <c r="B28" s="12"/>
      <c r="D28" s="3"/>
      <c r="E28" s="3"/>
      <c r="F28" s="3"/>
      <c r="G28" s="3"/>
      <c r="H28" s="3"/>
      <c r="I28" s="3"/>
      <c r="J28" s="3"/>
    </row>
    <row r="29" spans="2:10" ht="20.25">
      <c r="B29" s="13"/>
      <c r="D29" s="3"/>
      <c r="E29" s="3"/>
      <c r="F29" s="3"/>
      <c r="G29" s="3"/>
      <c r="H29" s="3"/>
      <c r="I29" s="3"/>
      <c r="J29" s="3"/>
    </row>
    <row r="30" spans="2:10" ht="20.25">
      <c r="B30" s="14"/>
      <c r="D30" s="3"/>
      <c r="E30" s="3"/>
      <c r="F30" s="3"/>
      <c r="G30" s="3"/>
      <c r="H30" s="3"/>
      <c r="I30" s="3"/>
      <c r="J30" s="3"/>
    </row>
    <row r="31" spans="2:10" ht="20.25">
      <c r="B31" s="14"/>
      <c r="D31" s="3"/>
      <c r="E31" s="3"/>
      <c r="F31" s="3"/>
      <c r="G31" s="3"/>
      <c r="H31" s="3"/>
      <c r="I31" s="3"/>
      <c r="J31" s="3"/>
    </row>
    <row r="32" spans="2:10" ht="20.25">
      <c r="B32" s="15"/>
      <c r="D32" s="3"/>
      <c r="E32" s="3"/>
      <c r="F32" s="3"/>
      <c r="G32" s="3"/>
      <c r="H32" s="3"/>
      <c r="I32" s="3"/>
      <c r="J32" s="3"/>
    </row>
    <row r="33" spans="1:3" s="3" customFormat="1" ht="20.25">
      <c r="A33" s="1"/>
      <c r="B33" s="16"/>
      <c r="C33" s="1"/>
    </row>
    <row r="34" spans="1:3" s="3" customFormat="1" ht="20.25">
      <c r="A34" s="1"/>
      <c r="B34" s="8"/>
      <c r="C34" s="1"/>
    </row>
    <row r="35" spans="1:3" s="3" customFormat="1" ht="20.25">
      <c r="A35" s="1"/>
      <c r="B35" s="16"/>
      <c r="C35" s="1"/>
    </row>
    <row r="36" spans="1:3" s="3" customFormat="1" ht="20.25">
      <c r="A36" s="1"/>
      <c r="B36" s="17"/>
      <c r="C36" s="1"/>
    </row>
    <row r="37" spans="1:3" s="3" customFormat="1" ht="20.25">
      <c r="A37" s="1"/>
      <c r="B37" s="17"/>
      <c r="C37" s="1"/>
    </row>
    <row r="38" spans="1:3" s="3" customFormat="1" ht="20.25">
      <c r="A38" s="1"/>
      <c r="B38" s="17"/>
      <c r="C38" s="1"/>
    </row>
    <row r="39" spans="1:3" s="3" customFormat="1" ht="20.25">
      <c r="A39" s="1"/>
      <c r="B39" s="8"/>
      <c r="C39" s="1"/>
    </row>
    <row r="40" spans="1:3" s="3" customFormat="1" ht="20.25">
      <c r="A40" s="1"/>
      <c r="B40" s="16"/>
      <c r="C40" s="1"/>
    </row>
    <row r="41" spans="1:3" s="3" customFormat="1" ht="20.25">
      <c r="A41" s="1"/>
      <c r="B41" s="17"/>
      <c r="C41" s="1"/>
    </row>
    <row r="42" spans="1:3" s="3" customFormat="1" ht="20.25">
      <c r="A42" s="1"/>
      <c r="B42" s="17"/>
      <c r="C42" s="1"/>
    </row>
    <row r="43" spans="1:3" s="3" customFormat="1" ht="20.25">
      <c r="A43" s="1"/>
      <c r="B43" s="17"/>
      <c r="C43" s="1"/>
    </row>
    <row r="44" spans="1:3" s="3" customFormat="1" ht="20.25">
      <c r="A44" s="1"/>
      <c r="B44" s="8"/>
      <c r="C44" s="1"/>
    </row>
    <row r="45" spans="1:3" s="3" customFormat="1" ht="20.25">
      <c r="A45" s="1"/>
      <c r="B45" s="16"/>
      <c r="C45" s="1"/>
    </row>
    <row r="46" spans="1:3" s="3" customFormat="1" ht="15.75">
      <c r="A46" s="1"/>
      <c r="B46" s="18"/>
      <c r="C46" s="1"/>
    </row>
    <row r="47" spans="1:3" s="3" customFormat="1" ht="15.75">
      <c r="A47" s="1"/>
      <c r="B47" s="18"/>
      <c r="C47" s="1"/>
    </row>
    <row r="48" spans="1:3" s="3" customFormat="1" ht="15.75">
      <c r="A48" s="1"/>
      <c r="B48" s="18"/>
      <c r="C48" s="1"/>
    </row>
    <row r="49" spans="1:3" s="3" customFormat="1" ht="15.75">
      <c r="A49" s="1"/>
      <c r="B49" s="18"/>
      <c r="C49" s="1"/>
    </row>
  </sheetData>
  <pageMargins left="0.75" right="0.75" top="1" bottom="1" header="0.5" footer="0.5"/>
  <pageSetup scale="4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D59"/>
  <sheetViews>
    <sheetView workbookViewId="0">
      <selection activeCell="C10" sqref="C10:C12"/>
    </sheetView>
  </sheetViews>
  <sheetFormatPr defaultRowHeight="12.75"/>
  <cols>
    <col min="1" max="1" width="3.7109375" customWidth="1"/>
    <col min="2" max="2" width="18.7109375" customWidth="1"/>
    <col min="3" max="3" width="94.140625" customWidth="1"/>
  </cols>
  <sheetData>
    <row r="1" spans="2:4" ht="19.5" thickBot="1">
      <c r="B1" s="70" t="s">
        <v>99</v>
      </c>
      <c r="C1" s="64" t="s">
        <v>100</v>
      </c>
      <c r="D1" s="63"/>
    </row>
    <row r="2" spans="2:4" ht="19.5" thickBot="1">
      <c r="B2" s="70" t="s">
        <v>101</v>
      </c>
      <c r="C2" s="64" t="s">
        <v>102</v>
      </c>
      <c r="D2" s="63"/>
    </row>
    <row r="3" spans="2:4" ht="19.5" thickBot="1">
      <c r="B3" s="70" t="s">
        <v>103</v>
      </c>
      <c r="C3" s="64" t="s">
        <v>254</v>
      </c>
      <c r="D3" s="63"/>
    </row>
    <row r="4" spans="2:4" ht="15.75" thickBot="1">
      <c r="B4" s="65"/>
      <c r="C4" s="66" t="s">
        <v>104</v>
      </c>
      <c r="D4" s="63"/>
    </row>
    <row r="5" spans="2:4" ht="38.25" thickBot="1">
      <c r="B5" s="65"/>
      <c r="C5" s="67" t="s">
        <v>105</v>
      </c>
      <c r="D5" s="63"/>
    </row>
    <row r="6" spans="2:4" ht="57" thickBot="1">
      <c r="B6" s="65"/>
      <c r="C6" s="67" t="s">
        <v>106</v>
      </c>
      <c r="D6" s="63"/>
    </row>
    <row r="7" spans="2:4" ht="13.5" thickBot="1">
      <c r="B7" s="65"/>
      <c r="C7" s="68"/>
      <c r="D7" s="63"/>
    </row>
    <row r="8" spans="2:4" ht="29.25" thickBot="1">
      <c r="B8" s="65"/>
      <c r="C8" s="69" t="s">
        <v>107</v>
      </c>
      <c r="D8" s="63"/>
    </row>
    <row r="9" spans="2:4" ht="13.5" thickBot="1">
      <c r="B9" s="65"/>
      <c r="C9" s="68"/>
      <c r="D9" s="63"/>
    </row>
    <row r="10" spans="2:4" ht="16.5" thickBot="1">
      <c r="B10" s="65"/>
      <c r="C10" s="70"/>
      <c r="D10" s="63"/>
    </row>
    <row r="11" spans="2:4" ht="13.5" thickBot="1">
      <c r="B11" s="65"/>
      <c r="C11" s="68"/>
      <c r="D11" s="63"/>
    </row>
    <row r="12" spans="2:4" ht="16.5" thickBot="1">
      <c r="B12" s="65"/>
      <c r="C12" s="70"/>
      <c r="D12" s="63"/>
    </row>
    <row r="13" spans="2:4" ht="13.5" thickBot="1">
      <c r="B13" s="65"/>
      <c r="C13" s="68"/>
      <c r="D13" s="63"/>
    </row>
    <row r="14" spans="2:4" ht="16.5" thickBot="1">
      <c r="B14" s="65"/>
      <c r="C14" s="70" t="s">
        <v>108</v>
      </c>
      <c r="D14" s="63"/>
    </row>
    <row r="15" spans="2:4" ht="63.75" thickBot="1">
      <c r="B15" s="65"/>
      <c r="C15" s="70" t="s">
        <v>109</v>
      </c>
      <c r="D15" s="63"/>
    </row>
    <row r="16" spans="2:4" ht="13.5" thickBot="1">
      <c r="B16" s="65"/>
      <c r="C16" s="68"/>
      <c r="D16" s="63"/>
    </row>
    <row r="17" spans="2:4" ht="16.5" thickBot="1">
      <c r="B17" s="65"/>
      <c r="C17" s="70" t="s">
        <v>110</v>
      </c>
      <c r="D17" s="63"/>
    </row>
    <row r="18" spans="2:4" ht="13.5" thickBot="1">
      <c r="B18" s="65"/>
      <c r="C18" s="68"/>
      <c r="D18" s="63"/>
    </row>
    <row r="19" spans="2:4" ht="19.5" thickBot="1">
      <c r="B19" s="65"/>
      <c r="C19" s="71" t="s">
        <v>111</v>
      </c>
      <c r="D19" s="246"/>
    </row>
    <row r="20" spans="2:4" ht="13.5" thickBot="1">
      <c r="B20" s="65"/>
      <c r="C20" s="68"/>
      <c r="D20" s="247"/>
    </row>
    <row r="21" spans="2:4" ht="63.75" thickBot="1">
      <c r="B21" s="65"/>
      <c r="C21" s="70" t="s">
        <v>112</v>
      </c>
      <c r="D21" s="248"/>
    </row>
    <row r="22" spans="2:4" ht="13.5" thickBot="1">
      <c r="B22" s="65"/>
      <c r="C22" s="68"/>
      <c r="D22" s="63"/>
    </row>
    <row r="23" spans="2:4" ht="16.5" thickBot="1">
      <c r="B23" s="65"/>
      <c r="C23" s="70" t="s">
        <v>113</v>
      </c>
      <c r="D23" s="63"/>
    </row>
    <row r="24" spans="2:4" ht="13.5" thickBot="1">
      <c r="B24" s="65"/>
      <c r="C24" s="68"/>
      <c r="D24" s="63"/>
    </row>
    <row r="25" spans="2:4" ht="13.5" thickBot="1">
      <c r="B25" s="72"/>
      <c r="C25" s="73"/>
      <c r="D25" s="63"/>
    </row>
    <row r="26" spans="2:4" ht="15.75" thickBot="1">
      <c r="B26" s="65"/>
      <c r="C26" s="74" t="s">
        <v>255</v>
      </c>
      <c r="D26" s="63"/>
    </row>
    <row r="27" spans="2:4" ht="26.25" thickBot="1">
      <c r="B27" s="75" t="s">
        <v>256</v>
      </c>
      <c r="C27" s="76" t="s">
        <v>254</v>
      </c>
      <c r="D27" s="63"/>
    </row>
    <row r="28" spans="2:4" ht="15.75" thickBot="1">
      <c r="B28" s="75" t="s">
        <v>257</v>
      </c>
      <c r="C28" s="77" t="s">
        <v>258</v>
      </c>
      <c r="D28" s="63"/>
    </row>
    <row r="29" spans="2:4" ht="16.5" thickBot="1">
      <c r="B29" s="78"/>
      <c r="C29" s="79" t="s">
        <v>259</v>
      </c>
      <c r="D29" s="63"/>
    </row>
    <row r="30" spans="2:4" ht="30.75" thickBot="1">
      <c r="B30" s="89" t="s">
        <v>260</v>
      </c>
      <c r="C30" s="80" t="s">
        <v>261</v>
      </c>
      <c r="D30" s="63"/>
    </row>
    <row r="31" spans="2:4" ht="30.75" thickBot="1">
      <c r="B31" s="90" t="s">
        <v>262</v>
      </c>
      <c r="C31" s="80" t="s">
        <v>263</v>
      </c>
      <c r="D31" s="63"/>
    </row>
    <row r="32" spans="2:4" ht="30.75" thickBot="1">
      <c r="B32" s="90" t="s">
        <v>264</v>
      </c>
      <c r="C32" s="81" t="s">
        <v>265</v>
      </c>
      <c r="D32" s="63"/>
    </row>
    <row r="33" spans="2:4" ht="15.75" thickBot="1">
      <c r="B33" s="90" t="s">
        <v>266</v>
      </c>
      <c r="C33" s="80" t="s">
        <v>267</v>
      </c>
      <c r="D33" s="63"/>
    </row>
    <row r="34" spans="2:4" ht="15.75" thickBot="1">
      <c r="B34" s="90" t="s">
        <v>268</v>
      </c>
      <c r="C34" s="80" t="s">
        <v>269</v>
      </c>
      <c r="D34" s="63"/>
    </row>
    <row r="35" spans="2:4" ht="30.75" thickBot="1">
      <c r="B35" s="70" t="s">
        <v>270</v>
      </c>
      <c r="C35" s="81" t="s">
        <v>271</v>
      </c>
      <c r="D35" s="63"/>
    </row>
    <row r="36" spans="2:4" ht="19.5" thickBot="1">
      <c r="B36" s="82"/>
      <c r="C36" s="83" t="s">
        <v>272</v>
      </c>
      <c r="D36" s="63"/>
    </row>
    <row r="37" spans="2:4" ht="15.75" thickBot="1">
      <c r="B37" s="65"/>
      <c r="C37" s="84" t="s">
        <v>273</v>
      </c>
      <c r="D37" s="63"/>
    </row>
    <row r="38" spans="2:4" ht="205.5" thickBot="1">
      <c r="B38" s="85" t="s">
        <v>274</v>
      </c>
      <c r="C38" s="216" t="s">
        <v>275</v>
      </c>
      <c r="D38" s="63"/>
    </row>
    <row r="39" spans="2:4" ht="15.75" thickBot="1">
      <c r="B39" s="65"/>
      <c r="C39" s="84" t="s">
        <v>276</v>
      </c>
      <c r="D39" s="63"/>
    </row>
    <row r="40" spans="2:4" ht="111" thickBot="1">
      <c r="B40" s="87" t="s">
        <v>277</v>
      </c>
      <c r="C40" s="86" t="s">
        <v>278</v>
      </c>
      <c r="D40" s="63"/>
    </row>
    <row r="41" spans="2:4" ht="15.75" thickBot="1">
      <c r="B41" s="65"/>
      <c r="C41" s="84" t="s">
        <v>279</v>
      </c>
      <c r="D41" s="63"/>
    </row>
    <row r="42" spans="2:4" ht="79.5" thickBot="1">
      <c r="B42" s="87" t="s">
        <v>280</v>
      </c>
      <c r="C42" s="86" t="s">
        <v>281</v>
      </c>
      <c r="D42" s="63"/>
    </row>
    <row r="43" spans="2:4" ht="15.75" thickBot="1">
      <c r="B43" s="65"/>
      <c r="C43" s="84" t="s">
        <v>282</v>
      </c>
      <c r="D43" s="63"/>
    </row>
    <row r="44" spans="2:4" ht="95.25" thickBot="1">
      <c r="B44" s="87" t="s">
        <v>283</v>
      </c>
      <c r="C44" s="86" t="s">
        <v>284</v>
      </c>
      <c r="D44" s="63"/>
    </row>
    <row r="45" spans="2:4" ht="13.5" thickBot="1">
      <c r="B45" s="65"/>
      <c r="C45" s="68"/>
      <c r="D45" s="63"/>
    </row>
    <row r="46" spans="2:4" ht="30.75" thickBot="1">
      <c r="B46" s="88" t="s">
        <v>285</v>
      </c>
      <c r="C46" s="86" t="s">
        <v>286</v>
      </c>
      <c r="D46" s="63"/>
    </row>
    <row r="47" spans="2:4" ht="13.5" thickBot="1">
      <c r="B47" s="72"/>
      <c r="C47" s="72"/>
      <c r="D47" s="63"/>
    </row>
    <row r="48" spans="2:4" ht="14.25">
      <c r="B48" s="60"/>
    </row>
    <row r="49" spans="2:2" ht="14.25">
      <c r="B49" s="60"/>
    </row>
    <row r="50" spans="2:2" ht="14.25">
      <c r="B50" s="60"/>
    </row>
    <row r="51" spans="2:2" ht="14.25">
      <c r="B51" s="60"/>
    </row>
    <row r="52" spans="2:2" ht="14.25">
      <c r="B52" s="60"/>
    </row>
    <row r="53" spans="2:2" ht="14.25">
      <c r="B53" s="60"/>
    </row>
    <row r="54" spans="2:2" ht="14.25">
      <c r="B54" s="60"/>
    </row>
    <row r="55" spans="2:2" ht="14.25">
      <c r="B55" s="60"/>
    </row>
    <row r="56" spans="2:2" ht="14.25">
      <c r="B56" s="60"/>
    </row>
    <row r="57" spans="2:2" ht="14.25">
      <c r="B57" s="60"/>
    </row>
    <row r="58" spans="2:2" ht="14.25">
      <c r="B58" s="60"/>
    </row>
    <row r="59" spans="2:2" ht="14.25">
      <c r="B59" s="60"/>
    </row>
  </sheetData>
  <mergeCells count="1">
    <mergeCell ref="D19:D2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J32"/>
  <sheetViews>
    <sheetView zoomScale="90" zoomScaleNormal="90" workbookViewId="0">
      <selection activeCell="H26" sqref="H4:H26"/>
    </sheetView>
  </sheetViews>
  <sheetFormatPr defaultRowHeight="12.75"/>
  <cols>
    <col min="1" max="1" width="6.5703125" customWidth="1"/>
    <col min="2" max="2" width="11.28515625" customWidth="1"/>
    <col min="3" max="3" width="22.140625" customWidth="1"/>
    <col min="4" max="4" width="17.28515625" customWidth="1"/>
    <col min="5" max="5" width="7.28515625" customWidth="1"/>
    <col min="6" max="6" width="21.5703125" customWidth="1"/>
    <col min="7" max="7" width="15.5703125" customWidth="1"/>
    <col min="8" max="9" width="25.5703125" customWidth="1"/>
    <col min="10" max="10" width="7.42578125" customWidth="1"/>
  </cols>
  <sheetData>
    <row r="1" spans="1:10">
      <c r="C1" s="125">
        <v>42353</v>
      </c>
    </row>
    <row r="2" spans="1:10" ht="18">
      <c r="C2" s="215" t="s">
        <v>176</v>
      </c>
      <c r="D2" s="129"/>
    </row>
    <row r="3" spans="1:10" ht="38.450000000000003" customHeight="1" thickBot="1">
      <c r="A3" s="214" t="s">
        <v>177</v>
      </c>
      <c r="B3" s="58" t="s">
        <v>10</v>
      </c>
      <c r="C3" s="58" t="s">
        <v>79</v>
      </c>
      <c r="D3" s="58" t="s">
        <v>6</v>
      </c>
      <c r="E3" s="58" t="s">
        <v>80</v>
      </c>
      <c r="F3" s="58" t="s">
        <v>81</v>
      </c>
      <c r="G3" s="58" t="s">
        <v>114</v>
      </c>
      <c r="H3" s="58" t="s">
        <v>82</v>
      </c>
      <c r="I3" s="58" t="s">
        <v>83</v>
      </c>
      <c r="J3" s="58"/>
    </row>
    <row r="4" spans="1:10" ht="13.5" thickBot="1">
      <c r="A4" s="126" t="s">
        <v>98</v>
      </c>
      <c r="B4" s="57" t="s">
        <v>84</v>
      </c>
      <c r="C4" s="57" t="s">
        <v>115</v>
      </c>
      <c r="D4" s="57" t="s">
        <v>116</v>
      </c>
      <c r="E4" s="57"/>
      <c r="F4" s="57" t="s">
        <v>117</v>
      </c>
      <c r="G4" s="57" t="s">
        <v>118</v>
      </c>
      <c r="H4" s="57" t="s">
        <v>119</v>
      </c>
      <c r="I4" s="57" t="s">
        <v>120</v>
      </c>
      <c r="J4" s="57">
        <v>1</v>
      </c>
    </row>
    <row r="5" spans="1:10" ht="13.5" thickBot="1">
      <c r="A5" s="91" t="s">
        <v>98</v>
      </c>
      <c r="B5" s="57" t="s">
        <v>85</v>
      </c>
      <c r="C5" s="57" t="s">
        <v>152</v>
      </c>
      <c r="D5" s="57" t="s">
        <v>153</v>
      </c>
      <c r="E5" s="57"/>
      <c r="F5" s="57" t="s">
        <v>154</v>
      </c>
      <c r="G5" s="57" t="s">
        <v>155</v>
      </c>
      <c r="H5" s="57" t="s">
        <v>156</v>
      </c>
      <c r="I5" s="57" t="s">
        <v>157</v>
      </c>
      <c r="J5" s="57">
        <v>2</v>
      </c>
    </row>
    <row r="6" spans="1:10" ht="13.5" thickBot="1">
      <c r="A6" s="59" t="s">
        <v>98</v>
      </c>
      <c r="B6" s="57" t="s">
        <v>85</v>
      </c>
      <c r="C6" s="57" t="s">
        <v>158</v>
      </c>
      <c r="D6" s="57" t="s">
        <v>159</v>
      </c>
      <c r="E6" s="57"/>
      <c r="F6" s="57" t="s">
        <v>154</v>
      </c>
      <c r="G6" s="57" t="s">
        <v>155</v>
      </c>
      <c r="H6" s="57" t="s">
        <v>156</v>
      </c>
      <c r="I6" s="57" t="s">
        <v>160</v>
      </c>
      <c r="J6" s="57">
        <v>3</v>
      </c>
    </row>
    <row r="7" spans="1:10" ht="13.5" thickBot="1">
      <c r="A7" s="91" t="s">
        <v>98</v>
      </c>
      <c r="B7" s="57" t="s">
        <v>84</v>
      </c>
      <c r="C7" s="57" t="s">
        <v>121</v>
      </c>
      <c r="D7" s="57" t="s">
        <v>122</v>
      </c>
      <c r="E7" s="57">
        <v>100</v>
      </c>
      <c r="F7" s="57" t="s">
        <v>123</v>
      </c>
      <c r="G7" s="57" t="s">
        <v>124</v>
      </c>
      <c r="H7" s="57" t="s">
        <v>125</v>
      </c>
      <c r="I7" s="57" t="s">
        <v>126</v>
      </c>
      <c r="J7" s="57">
        <v>4</v>
      </c>
    </row>
    <row r="8" spans="1:10" ht="13.5" thickBot="1">
      <c r="A8" s="59" t="s">
        <v>98</v>
      </c>
      <c r="B8" s="57" t="s">
        <v>84</v>
      </c>
      <c r="C8" s="57" t="s">
        <v>90</v>
      </c>
      <c r="D8" s="57" t="s">
        <v>133</v>
      </c>
      <c r="E8" s="57">
        <v>100</v>
      </c>
      <c r="F8" s="57" t="s">
        <v>86</v>
      </c>
      <c r="G8" s="57" t="s">
        <v>129</v>
      </c>
      <c r="H8" s="57" t="s">
        <v>87</v>
      </c>
      <c r="I8" s="57" t="s">
        <v>91</v>
      </c>
      <c r="J8" s="57">
        <v>5</v>
      </c>
    </row>
    <row r="9" spans="1:10" ht="13.5" thickBot="1">
      <c r="A9" s="59" t="s">
        <v>98</v>
      </c>
      <c r="B9" s="57" t="s">
        <v>84</v>
      </c>
      <c r="C9" s="57" t="s">
        <v>134</v>
      </c>
      <c r="D9" s="57" t="s">
        <v>135</v>
      </c>
      <c r="E9" s="57">
        <v>100</v>
      </c>
      <c r="F9" s="57" t="s">
        <v>86</v>
      </c>
      <c r="G9" s="57" t="s">
        <v>129</v>
      </c>
      <c r="H9" s="57" t="s">
        <v>87</v>
      </c>
      <c r="I9" s="57" t="s">
        <v>136</v>
      </c>
      <c r="J9" s="57">
        <v>6</v>
      </c>
    </row>
    <row r="10" spans="1:10" ht="13.5" thickBot="1">
      <c r="A10" s="59" t="s">
        <v>98</v>
      </c>
      <c r="B10" s="57" t="s">
        <v>85</v>
      </c>
      <c r="C10" s="57" t="s">
        <v>137</v>
      </c>
      <c r="D10" s="57" t="s">
        <v>138</v>
      </c>
      <c r="E10" s="57">
        <v>100</v>
      </c>
      <c r="F10" s="57" t="s">
        <v>139</v>
      </c>
      <c r="G10" s="57" t="s">
        <v>140</v>
      </c>
      <c r="H10" s="57" t="s">
        <v>141</v>
      </c>
      <c r="I10" s="57" t="s">
        <v>142</v>
      </c>
      <c r="J10" s="57">
        <v>7</v>
      </c>
    </row>
    <row r="11" spans="1:10" ht="13.5" thickBot="1">
      <c r="A11" s="59" t="s">
        <v>98</v>
      </c>
      <c r="B11" s="57" t="s">
        <v>85</v>
      </c>
      <c r="C11" s="57" t="s">
        <v>161</v>
      </c>
      <c r="D11" s="57" t="s">
        <v>162</v>
      </c>
      <c r="E11" s="57">
        <v>100</v>
      </c>
      <c r="F11" s="57" t="s">
        <v>139</v>
      </c>
      <c r="G11" s="57" t="s">
        <v>140</v>
      </c>
      <c r="H11" s="57" t="s">
        <v>141</v>
      </c>
      <c r="I11" s="57" t="s">
        <v>145</v>
      </c>
      <c r="J11" s="57">
        <v>8</v>
      </c>
    </row>
    <row r="12" spans="1:10" ht="13.5" thickBot="1">
      <c r="A12" s="59" t="s">
        <v>98</v>
      </c>
      <c r="B12" s="57" t="s">
        <v>84</v>
      </c>
      <c r="C12" s="57" t="s">
        <v>146</v>
      </c>
      <c r="D12" s="57" t="s">
        <v>96</v>
      </c>
      <c r="E12" s="57">
        <v>100</v>
      </c>
      <c r="F12" s="57" t="s">
        <v>92</v>
      </c>
      <c r="G12" s="57"/>
      <c r="H12" s="57" t="s">
        <v>93</v>
      </c>
      <c r="I12" s="57" t="s">
        <v>147</v>
      </c>
      <c r="J12" s="57">
        <v>9</v>
      </c>
    </row>
    <row r="13" spans="1:10" ht="13.5" thickBot="1">
      <c r="A13" s="59"/>
      <c r="B13" s="57"/>
      <c r="C13" s="57"/>
      <c r="D13" s="57"/>
      <c r="E13" s="57"/>
      <c r="F13" s="57"/>
      <c r="G13" s="57"/>
      <c r="H13" s="57"/>
      <c r="I13" s="57"/>
      <c r="J13" s="57"/>
    </row>
    <row r="14" spans="1:10" s="128" customFormat="1" ht="13.5" thickBot="1">
      <c r="A14" s="127"/>
      <c r="B14" s="213"/>
      <c r="C14" s="213"/>
      <c r="D14" s="213"/>
      <c r="E14" s="213"/>
      <c r="F14" s="213"/>
      <c r="G14" s="213"/>
      <c r="H14" s="213"/>
      <c r="I14" s="213"/>
      <c r="J14" s="213"/>
    </row>
    <row r="15" spans="1:10" ht="26.25" thickBot="1">
      <c r="A15" s="214" t="s">
        <v>178</v>
      </c>
      <c r="E15" s="57"/>
      <c r="F15" s="57" t="s">
        <v>154</v>
      </c>
      <c r="G15" s="57" t="s">
        <v>155</v>
      </c>
      <c r="H15" s="57" t="s">
        <v>156</v>
      </c>
      <c r="I15" s="57" t="s">
        <v>163</v>
      </c>
      <c r="J15" s="57">
        <v>10</v>
      </c>
    </row>
    <row r="16" spans="1:10" ht="13.5" thickBot="1">
      <c r="A16" s="91" t="s">
        <v>151</v>
      </c>
      <c r="B16" s="57" t="s">
        <v>85</v>
      </c>
      <c r="C16" s="57" t="s">
        <v>164</v>
      </c>
      <c r="D16" s="57" t="s">
        <v>165</v>
      </c>
      <c r="E16" s="57"/>
      <c r="F16" s="57" t="s">
        <v>154</v>
      </c>
      <c r="G16" s="57" t="s">
        <v>155</v>
      </c>
      <c r="H16" s="57" t="s">
        <v>156</v>
      </c>
      <c r="I16" s="57" t="s">
        <v>166</v>
      </c>
      <c r="J16" s="57">
        <v>11</v>
      </c>
    </row>
    <row r="17" spans="1:10" ht="13.5" thickBot="1">
      <c r="A17" s="91" t="s">
        <v>151</v>
      </c>
      <c r="B17" s="57" t="s">
        <v>85</v>
      </c>
      <c r="C17" s="57" t="s">
        <v>167</v>
      </c>
      <c r="D17" s="57" t="s">
        <v>168</v>
      </c>
      <c r="E17" s="57"/>
      <c r="F17" s="57" t="s">
        <v>154</v>
      </c>
      <c r="G17" s="57" t="s">
        <v>155</v>
      </c>
      <c r="H17" s="57" t="s">
        <v>156</v>
      </c>
      <c r="I17" s="57" t="s">
        <v>169</v>
      </c>
      <c r="J17" s="57">
        <v>12</v>
      </c>
    </row>
    <row r="18" spans="1:10" ht="13.5" thickBot="1">
      <c r="A18" s="91" t="s">
        <v>151</v>
      </c>
      <c r="B18" s="57" t="s">
        <v>84</v>
      </c>
      <c r="C18" s="57" t="s">
        <v>170</v>
      </c>
      <c r="D18" s="57" t="s">
        <v>171</v>
      </c>
      <c r="E18" s="57"/>
      <c r="F18" s="57" t="s">
        <v>154</v>
      </c>
      <c r="G18" s="57" t="s">
        <v>155</v>
      </c>
      <c r="H18" s="57" t="s">
        <v>156</v>
      </c>
      <c r="I18" s="57" t="s">
        <v>172</v>
      </c>
      <c r="J18" s="57">
        <v>13</v>
      </c>
    </row>
    <row r="19" spans="1:10" ht="13.5" thickBot="1">
      <c r="A19" s="91" t="s">
        <v>151</v>
      </c>
      <c r="B19" s="57" t="s">
        <v>84</v>
      </c>
      <c r="C19" s="57" t="s">
        <v>127</v>
      </c>
      <c r="D19" s="57" t="s">
        <v>128</v>
      </c>
      <c r="E19" s="57"/>
      <c r="F19" s="57" t="s">
        <v>86</v>
      </c>
      <c r="G19" s="57" t="s">
        <v>129</v>
      </c>
      <c r="H19" s="57" t="s">
        <v>87</v>
      </c>
      <c r="I19" s="57" t="s">
        <v>130</v>
      </c>
      <c r="J19" s="57">
        <v>14</v>
      </c>
    </row>
    <row r="20" spans="1:10" ht="25.5" customHeight="1" thickBot="1">
      <c r="A20" s="91" t="s">
        <v>151</v>
      </c>
      <c r="B20" s="57" t="s">
        <v>84</v>
      </c>
      <c r="C20" s="57" t="s">
        <v>173</v>
      </c>
      <c r="D20" s="57" t="s">
        <v>174</v>
      </c>
      <c r="E20" s="57">
        <v>100</v>
      </c>
      <c r="F20" s="57" t="s">
        <v>86</v>
      </c>
      <c r="G20" s="57" t="s">
        <v>129</v>
      </c>
      <c r="H20" s="57" t="s">
        <v>87</v>
      </c>
      <c r="I20" s="57" t="s">
        <v>175</v>
      </c>
      <c r="J20" s="57">
        <v>15</v>
      </c>
    </row>
    <row r="21" spans="1:10" ht="13.5" thickBot="1">
      <c r="A21" s="59" t="s">
        <v>151</v>
      </c>
      <c r="B21" s="57" t="s">
        <v>84</v>
      </c>
      <c r="C21" s="57" t="s">
        <v>88</v>
      </c>
      <c r="D21" s="57" t="s">
        <v>95</v>
      </c>
      <c r="E21" s="57">
        <v>100</v>
      </c>
      <c r="F21" s="57" t="s">
        <v>86</v>
      </c>
      <c r="G21" s="57" t="s">
        <v>129</v>
      </c>
      <c r="H21" s="57" t="s">
        <v>87</v>
      </c>
      <c r="I21" s="57" t="s">
        <v>89</v>
      </c>
      <c r="J21" s="57">
        <v>16</v>
      </c>
    </row>
    <row r="22" spans="1:10" ht="13.5" thickBot="1">
      <c r="A22" s="91" t="s">
        <v>151</v>
      </c>
      <c r="B22" s="57" t="s">
        <v>84</v>
      </c>
      <c r="C22" s="57" t="s">
        <v>131</v>
      </c>
      <c r="D22" s="57" t="s">
        <v>94</v>
      </c>
      <c r="E22" s="57">
        <v>100</v>
      </c>
      <c r="F22" s="57" t="s">
        <v>86</v>
      </c>
      <c r="G22" s="57" t="s">
        <v>129</v>
      </c>
      <c r="H22" s="57" t="s">
        <v>87</v>
      </c>
      <c r="I22" s="57" t="s">
        <v>132</v>
      </c>
      <c r="J22" s="57">
        <v>17</v>
      </c>
    </row>
    <row r="23" spans="1:10" ht="13.5" thickBot="1">
      <c r="A23" s="59" t="s">
        <v>151</v>
      </c>
      <c r="B23" s="57" t="s">
        <v>84</v>
      </c>
      <c r="C23" s="57" t="s">
        <v>148</v>
      </c>
      <c r="D23" s="57" t="s">
        <v>149</v>
      </c>
      <c r="E23" s="57">
        <v>100</v>
      </c>
      <c r="F23" s="57" t="s">
        <v>92</v>
      </c>
      <c r="G23" s="57"/>
      <c r="H23" s="57" t="s">
        <v>93</v>
      </c>
      <c r="I23" s="57" t="s">
        <v>150</v>
      </c>
      <c r="J23" s="57">
        <v>18</v>
      </c>
    </row>
    <row r="24" spans="1:10" ht="13.5" thickBot="1">
      <c r="A24" s="91" t="s">
        <v>151</v>
      </c>
      <c r="B24" s="57" t="s">
        <v>85</v>
      </c>
      <c r="C24" s="57" t="s">
        <v>143</v>
      </c>
      <c r="D24" s="57" t="s">
        <v>144</v>
      </c>
      <c r="J24" s="57"/>
    </row>
    <row r="25" spans="1:10" s="62" customFormat="1" ht="13.5" thickBot="1">
      <c r="B25" s="57" t="s">
        <v>84</v>
      </c>
      <c r="C25" s="57" t="s">
        <v>299</v>
      </c>
      <c r="D25" s="57" t="s">
        <v>300</v>
      </c>
      <c r="E25" s="57"/>
      <c r="F25" s="57" t="s">
        <v>301</v>
      </c>
      <c r="G25" s="57">
        <v>8642471337</v>
      </c>
      <c r="H25" s="57" t="s">
        <v>302</v>
      </c>
      <c r="I25" s="57" t="s">
        <v>303</v>
      </c>
      <c r="J25" s="57"/>
    </row>
    <row r="26" spans="1:10" ht="13.5" thickBot="1">
      <c r="B26" s="57" t="s">
        <v>84</v>
      </c>
      <c r="C26" s="57" t="s">
        <v>304</v>
      </c>
      <c r="D26" s="57" t="s">
        <v>305</v>
      </c>
      <c r="E26" s="57"/>
      <c r="F26" s="57" t="s">
        <v>301</v>
      </c>
      <c r="G26" s="57">
        <v>8642471337</v>
      </c>
      <c r="H26" s="57" t="s">
        <v>302</v>
      </c>
      <c r="I26" s="57" t="s">
        <v>306</v>
      </c>
      <c r="J26" s="57"/>
    </row>
    <row r="27" spans="1:10" ht="13.5" thickBot="1">
      <c r="A27" s="59"/>
      <c r="B27" s="123"/>
      <c r="C27" s="57"/>
      <c r="D27" s="57"/>
      <c r="E27" s="57"/>
      <c r="F27" s="57"/>
      <c r="G27" s="57"/>
      <c r="H27" s="57"/>
      <c r="I27" s="57"/>
      <c r="J27" s="57"/>
    </row>
    <row r="28" spans="1:10" ht="13.5" thickBot="1">
      <c r="A28" s="59"/>
      <c r="B28" s="124"/>
      <c r="C28" s="57"/>
      <c r="D28" s="57"/>
      <c r="E28" s="57"/>
      <c r="F28" s="57"/>
      <c r="G28" s="57"/>
      <c r="H28" s="57"/>
      <c r="I28" s="57"/>
      <c r="J28" s="57"/>
    </row>
    <row r="29" spans="1:10" ht="13.5" thickBot="1">
      <c r="B29" s="121"/>
      <c r="C29" s="57"/>
      <c r="D29" s="57"/>
      <c r="E29" s="57"/>
      <c r="F29" s="57"/>
      <c r="G29" s="57"/>
      <c r="H29" s="57"/>
      <c r="I29" s="57"/>
      <c r="J29" s="57"/>
    </row>
    <row r="30" spans="1:10" ht="13.5" thickBot="1">
      <c r="B30" s="122"/>
      <c r="C30" s="57"/>
      <c r="D30" s="57"/>
      <c r="E30" s="57"/>
      <c r="F30" s="57"/>
      <c r="G30" s="57"/>
      <c r="H30" s="57"/>
      <c r="I30" s="57"/>
      <c r="J30" s="57"/>
    </row>
    <row r="31" spans="1:10" ht="13.5" thickBot="1">
      <c r="B31" s="59"/>
      <c r="C31" s="57"/>
      <c r="D31" s="57"/>
      <c r="E31" s="57"/>
      <c r="F31" s="57"/>
      <c r="G31" s="57"/>
      <c r="H31" s="57"/>
      <c r="I31" s="57"/>
      <c r="J31" s="57"/>
    </row>
    <row r="32" spans="1:10" ht="13.5" thickBot="1">
      <c r="B32" s="59"/>
      <c r="C32" s="57"/>
      <c r="D32" s="57"/>
      <c r="E32" s="57"/>
      <c r="F32" s="57"/>
      <c r="G32" s="57"/>
      <c r="H32" s="57"/>
      <c r="I32" s="57"/>
      <c r="J32" s="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H93"/>
  <sheetViews>
    <sheetView workbookViewId="0"/>
  </sheetViews>
  <sheetFormatPr defaultRowHeight="12.75"/>
  <cols>
    <col min="1" max="2" width="22.7109375" bestFit="1" customWidth="1"/>
    <col min="3" max="3" width="12.5703125" bestFit="1" customWidth="1"/>
    <col min="4" max="4" width="14.28515625" bestFit="1" customWidth="1"/>
    <col min="5" max="5" width="9.7109375" bestFit="1" customWidth="1"/>
    <col min="6" max="6" width="7.5703125" bestFit="1" customWidth="1"/>
    <col min="8" max="8" width="21.85546875" bestFit="1" customWidth="1"/>
  </cols>
  <sheetData>
    <row r="1" spans="1:8" ht="13.5" thickBot="1">
      <c r="A1" s="481" t="s">
        <v>4</v>
      </c>
      <c r="B1" s="482" t="s">
        <v>5</v>
      </c>
      <c r="C1" s="483" t="s">
        <v>6</v>
      </c>
      <c r="D1" s="484" t="s">
        <v>183</v>
      </c>
      <c r="E1" s="485" t="s">
        <v>184</v>
      </c>
      <c r="F1" s="484" t="s">
        <v>7</v>
      </c>
      <c r="H1" t="s">
        <v>1275</v>
      </c>
    </row>
    <row r="2" spans="1:8" ht="13.5" thickBot="1">
      <c r="A2" s="486">
        <v>1</v>
      </c>
      <c r="B2" s="521" t="s">
        <v>115</v>
      </c>
      <c r="C2" s="521" t="s">
        <v>116</v>
      </c>
      <c r="D2" s="522">
        <v>1179.7721457596278</v>
      </c>
      <c r="E2" s="489">
        <v>1169.9965894145842</v>
      </c>
      <c r="F2" s="490">
        <v>1169.9965894145842</v>
      </c>
      <c r="H2" t="s">
        <v>1275</v>
      </c>
    </row>
    <row r="3" spans="1:8" ht="13.5" thickBot="1">
      <c r="A3" s="491">
        <v>2</v>
      </c>
      <c r="B3" s="521" t="s">
        <v>152</v>
      </c>
      <c r="C3" s="521" t="s">
        <v>153</v>
      </c>
      <c r="D3" s="522">
        <v>1541.8981701239713</v>
      </c>
      <c r="E3" s="493">
        <v>1557.5535974664533</v>
      </c>
      <c r="F3" s="490">
        <v>1557.5535974664533</v>
      </c>
      <c r="H3" t="s">
        <v>1275</v>
      </c>
    </row>
    <row r="4" spans="1:8" ht="13.5" thickBot="1">
      <c r="A4" s="491">
        <v>3</v>
      </c>
      <c r="B4" s="521" t="s">
        <v>158</v>
      </c>
      <c r="C4" s="521" t="s">
        <v>159</v>
      </c>
      <c r="D4" s="522">
        <v>1445.1361227091788</v>
      </c>
      <c r="E4" s="493">
        <v>1408.526724404192</v>
      </c>
      <c r="F4" s="490">
        <v>1408.526724404192</v>
      </c>
      <c r="H4" t="s">
        <v>1275</v>
      </c>
    </row>
    <row r="5" spans="1:8" ht="13.5" thickBot="1">
      <c r="A5" s="491">
        <v>4</v>
      </c>
      <c r="B5" s="521" t="s">
        <v>121</v>
      </c>
      <c r="C5" s="521" t="s">
        <v>122</v>
      </c>
      <c r="D5" s="522">
        <v>1180.6127196485652</v>
      </c>
      <c r="E5" s="493">
        <v>1160.7781668554978</v>
      </c>
      <c r="F5" s="490">
        <v>1160.7781668554978</v>
      </c>
      <c r="H5" t="s">
        <v>1275</v>
      </c>
    </row>
    <row r="6" spans="1:8" ht="13.5" thickBot="1">
      <c r="A6" s="491">
        <v>5</v>
      </c>
      <c r="B6" s="521" t="s">
        <v>90</v>
      </c>
      <c r="C6" s="521" t="s">
        <v>133</v>
      </c>
      <c r="D6" s="522">
        <v>1162.1331471608514</v>
      </c>
      <c r="E6" s="493">
        <v>1186.8787697632317</v>
      </c>
      <c r="F6" s="490">
        <v>1186.8787697632317</v>
      </c>
      <c r="H6" t="s">
        <v>1275</v>
      </c>
    </row>
    <row r="7" spans="1:8" ht="13.5" thickBot="1">
      <c r="A7" s="491">
        <v>6</v>
      </c>
      <c r="B7" s="521" t="s">
        <v>134</v>
      </c>
      <c r="C7" s="521" t="s">
        <v>135</v>
      </c>
      <c r="D7" s="522">
        <v>1263.649221203714</v>
      </c>
      <c r="E7" s="493">
        <v>1264.5083262633123</v>
      </c>
      <c r="F7" s="490">
        <v>1264.5083262633123</v>
      </c>
      <c r="H7" t="s">
        <v>1275</v>
      </c>
    </row>
    <row r="8" spans="1:8" ht="13.5" thickBot="1">
      <c r="A8" s="491">
        <v>7</v>
      </c>
      <c r="B8" s="521" t="s">
        <v>137</v>
      </c>
      <c r="C8" s="521" t="s">
        <v>138</v>
      </c>
      <c r="D8" s="522">
        <v>1371.375662705266</v>
      </c>
      <c r="E8" s="493">
        <v>1390.3511104387351</v>
      </c>
      <c r="F8" s="490">
        <v>1390.3511104387351</v>
      </c>
      <c r="H8" t="s">
        <v>1275</v>
      </c>
    </row>
    <row r="9" spans="1:8" ht="13.5" thickBot="1">
      <c r="A9" s="491">
        <v>8</v>
      </c>
      <c r="B9" s="521" t="s">
        <v>161</v>
      </c>
      <c r="C9" s="521" t="s">
        <v>162</v>
      </c>
      <c r="D9" s="522">
        <v>1342.9240357109743</v>
      </c>
      <c r="E9" s="493">
        <v>1327.9539694536377</v>
      </c>
      <c r="F9" s="490">
        <v>1327.9539694536377</v>
      </c>
      <c r="H9" t="s">
        <v>1275</v>
      </c>
    </row>
    <row r="10" spans="1:8" ht="13.5" thickBot="1">
      <c r="A10" s="491">
        <v>9</v>
      </c>
      <c r="B10" s="521" t="s">
        <v>146</v>
      </c>
      <c r="C10" s="521" t="s">
        <v>96</v>
      </c>
      <c r="D10" s="522">
        <v>1212.4987749778513</v>
      </c>
      <c r="E10" s="493">
        <v>1233.4527459403562</v>
      </c>
      <c r="F10" s="490">
        <v>1233.4527459403562</v>
      </c>
      <c r="H10" t="s">
        <v>1275</v>
      </c>
    </row>
    <row r="11" spans="1:8" ht="13.5" thickBot="1">
      <c r="A11" s="491">
        <v>10</v>
      </c>
      <c r="B11" s="521" t="s">
        <v>192</v>
      </c>
      <c r="C11" s="521" t="s">
        <v>193</v>
      </c>
      <c r="D11" s="522">
        <v>2010</v>
      </c>
      <c r="E11" s="493">
        <v>2010</v>
      </c>
      <c r="F11" s="490">
        <v>2010</v>
      </c>
      <c r="H11" t="s">
        <v>1275</v>
      </c>
    </row>
    <row r="12" spans="1:8">
      <c r="A12" s="491">
        <v>11</v>
      </c>
      <c r="B12" s="521" t="s">
        <v>194</v>
      </c>
      <c r="C12" s="521" t="s">
        <v>195</v>
      </c>
      <c r="D12" s="522">
        <v>2011</v>
      </c>
      <c r="E12" s="493">
        <v>2011</v>
      </c>
      <c r="F12" s="490">
        <v>2011</v>
      </c>
      <c r="H12" t="s">
        <v>1275</v>
      </c>
    </row>
    <row r="13" spans="1:8">
      <c r="A13" s="491">
        <v>12</v>
      </c>
      <c r="B13" s="495" t="s">
        <v>196</v>
      </c>
      <c r="C13" s="496" t="s">
        <v>197</v>
      </c>
      <c r="D13" s="492">
        <v>2012</v>
      </c>
      <c r="E13" s="493">
        <v>2012</v>
      </c>
      <c r="F13" s="494" t="e">
        <v>#REF!</v>
      </c>
      <c r="H13" t="s">
        <v>1275</v>
      </c>
    </row>
    <row r="14" spans="1:8">
      <c r="A14" s="515" t="s">
        <v>224</v>
      </c>
      <c r="B14" s="513"/>
      <c r="C14" s="513"/>
      <c r="D14" s="514"/>
      <c r="E14" s="513"/>
      <c r="F14" s="513"/>
      <c r="H14" t="s">
        <v>1275</v>
      </c>
    </row>
    <row r="15" spans="1:8">
      <c r="A15" s="513" t="s">
        <v>146</v>
      </c>
      <c r="B15" s="513">
        <v>1233.4527459403562</v>
      </c>
      <c r="C15" s="513"/>
      <c r="D15" s="514"/>
      <c r="E15" s="513"/>
      <c r="F15" s="513"/>
      <c r="H15" t="s">
        <v>1275</v>
      </c>
    </row>
    <row r="16" spans="1:8">
      <c r="A16" s="513" t="s">
        <v>152</v>
      </c>
      <c r="B16" s="513">
        <v>1557.5535974664533</v>
      </c>
      <c r="C16" s="513"/>
      <c r="D16" s="514"/>
      <c r="E16" s="513"/>
      <c r="F16" s="513"/>
      <c r="H16" t="s">
        <v>1275</v>
      </c>
    </row>
    <row r="17" spans="1:8">
      <c r="A17" s="513" t="s">
        <v>158</v>
      </c>
      <c r="B17" s="513">
        <v>1408.526724404192</v>
      </c>
      <c r="C17" s="513"/>
      <c r="D17" s="514"/>
      <c r="E17" s="513"/>
      <c r="F17" s="513"/>
      <c r="H17" t="s">
        <v>1275</v>
      </c>
    </row>
    <row r="18" spans="1:8">
      <c r="A18" s="513" t="s">
        <v>196</v>
      </c>
      <c r="B18" s="513">
        <v>2012</v>
      </c>
      <c r="C18" s="513"/>
      <c r="D18" s="514"/>
      <c r="E18" s="513"/>
      <c r="F18" s="513"/>
      <c r="H18" t="s">
        <v>1275</v>
      </c>
    </row>
    <row r="19" spans="1:8" ht="13.5" thickBot="1">
      <c r="A19" s="513">
        <v>0</v>
      </c>
      <c r="B19" s="513" t="e">
        <v>#N/A</v>
      </c>
      <c r="C19" s="513"/>
      <c r="D19" s="514"/>
      <c r="E19" s="513"/>
      <c r="F19" s="513"/>
      <c r="H19" t="s">
        <v>1275</v>
      </c>
    </row>
    <row r="20" spans="1:8" ht="13.5" thickBot="1">
      <c r="A20" s="481" t="s">
        <v>4</v>
      </c>
      <c r="B20" s="482" t="s">
        <v>5</v>
      </c>
      <c r="C20" s="483" t="s">
        <v>6</v>
      </c>
      <c r="D20" s="484" t="s">
        <v>183</v>
      </c>
      <c r="E20" s="485" t="s">
        <v>184</v>
      </c>
      <c r="F20" s="484" t="s">
        <v>7</v>
      </c>
      <c r="H20" t="s">
        <v>1276</v>
      </c>
    </row>
    <row r="21" spans="1:8" ht="13.5" thickBot="1">
      <c r="A21" s="486">
        <v>1</v>
      </c>
      <c r="B21" s="521" t="s">
        <v>115</v>
      </c>
      <c r="C21" s="521" t="s">
        <v>116</v>
      </c>
      <c r="D21" s="522">
        <v>1185.7779264437215</v>
      </c>
      <c r="E21" s="489">
        <v>1179.7721457596278</v>
      </c>
      <c r="F21" s="490">
        <v>1179.7721457596278</v>
      </c>
      <c r="H21" t="s">
        <v>1276</v>
      </c>
    </row>
    <row r="22" spans="1:8" ht="13.5" thickBot="1">
      <c r="A22" s="491">
        <v>2</v>
      </c>
      <c r="B22" s="521" t="s">
        <v>152</v>
      </c>
      <c r="C22" s="521" t="s">
        <v>153</v>
      </c>
      <c r="D22" s="522">
        <v>1530.4660296046136</v>
      </c>
      <c r="E22" s="493">
        <v>1541.8981701239713</v>
      </c>
      <c r="F22" s="490">
        <v>1541.8981701239713</v>
      </c>
      <c r="H22" t="s">
        <v>1276</v>
      </c>
    </row>
    <row r="23" spans="1:8" ht="13.5" thickBot="1">
      <c r="A23" s="491">
        <v>3</v>
      </c>
      <c r="B23" s="521" t="s">
        <v>158</v>
      </c>
      <c r="C23" s="521" t="s">
        <v>159</v>
      </c>
      <c r="D23" s="522">
        <v>1429.6517072742154</v>
      </c>
      <c r="E23" s="493">
        <v>1445.1361227091788</v>
      </c>
      <c r="F23" s="490">
        <v>1445.1361227091788</v>
      </c>
      <c r="H23" t="s">
        <v>1276</v>
      </c>
    </row>
    <row r="24" spans="1:8" ht="13.5" thickBot="1">
      <c r="A24" s="491">
        <v>4</v>
      </c>
      <c r="B24" s="521" t="s">
        <v>121</v>
      </c>
      <c r="C24" s="521" t="s">
        <v>122</v>
      </c>
      <c r="D24" s="522">
        <v>1186.0390794838293</v>
      </c>
      <c r="E24" s="493">
        <v>1180.6127196485652</v>
      </c>
      <c r="F24" s="490">
        <v>1180.6127196485652</v>
      </c>
      <c r="H24" t="s">
        <v>1276</v>
      </c>
    </row>
    <row r="25" spans="1:8" ht="13.5" thickBot="1">
      <c r="A25" s="491">
        <v>5</v>
      </c>
      <c r="B25" s="521" t="s">
        <v>90</v>
      </c>
      <c r="C25" s="521" t="s">
        <v>133</v>
      </c>
      <c r="D25" s="522">
        <v>1207.6014825585389</v>
      </c>
      <c r="E25" s="493">
        <v>1162.1331471608514</v>
      </c>
      <c r="F25" s="490">
        <v>1162.1331471608514</v>
      </c>
      <c r="H25" t="s">
        <v>1276</v>
      </c>
    </row>
    <row r="26" spans="1:8" ht="13.5" thickBot="1">
      <c r="A26" s="491">
        <v>6</v>
      </c>
      <c r="B26" s="521" t="s">
        <v>134</v>
      </c>
      <c r="C26" s="521" t="s">
        <v>135</v>
      </c>
      <c r="D26" s="522">
        <v>1246.3704475419222</v>
      </c>
      <c r="E26" s="493">
        <v>1263.649221203714</v>
      </c>
      <c r="F26" s="490">
        <v>1263.649221203714</v>
      </c>
      <c r="H26" t="s">
        <v>1276</v>
      </c>
    </row>
    <row r="27" spans="1:8" ht="13.5" thickBot="1">
      <c r="A27" s="491">
        <v>7</v>
      </c>
      <c r="B27" s="521" t="s">
        <v>137</v>
      </c>
      <c r="C27" s="521" t="s">
        <v>138</v>
      </c>
      <c r="D27" s="522">
        <v>1367.8516260143563</v>
      </c>
      <c r="E27" s="493">
        <v>1371.375662705266</v>
      </c>
      <c r="F27" s="490">
        <v>1371.375662705266</v>
      </c>
      <c r="H27" t="s">
        <v>1276</v>
      </c>
    </row>
    <row r="28" spans="1:8" ht="13.5" thickBot="1">
      <c r="A28" s="491">
        <v>8</v>
      </c>
      <c r="B28" s="521" t="s">
        <v>161</v>
      </c>
      <c r="C28" s="521" t="s">
        <v>162</v>
      </c>
      <c r="D28" s="522">
        <v>1361.9324878368475</v>
      </c>
      <c r="E28" s="493">
        <v>1342.9240357109743</v>
      </c>
      <c r="F28" s="490">
        <v>1342.9240357109743</v>
      </c>
      <c r="H28" t="s">
        <v>1276</v>
      </c>
    </row>
    <row r="29" spans="1:8" ht="13.5" thickBot="1">
      <c r="A29" s="491">
        <v>9</v>
      </c>
      <c r="B29" s="521" t="s">
        <v>146</v>
      </c>
      <c r="C29" s="521" t="s">
        <v>96</v>
      </c>
      <c r="D29" s="522">
        <v>1184.3092132419554</v>
      </c>
      <c r="E29" s="493">
        <v>1212.4987749778513</v>
      </c>
      <c r="F29" s="490">
        <v>1212.4987749778513</v>
      </c>
      <c r="H29" t="s">
        <v>1276</v>
      </c>
    </row>
    <row r="30" spans="1:8" ht="13.5" thickBot="1">
      <c r="A30" s="491">
        <v>10</v>
      </c>
      <c r="B30" s="521" t="s">
        <v>192</v>
      </c>
      <c r="C30" s="521" t="s">
        <v>193</v>
      </c>
      <c r="D30" s="522">
        <v>2010</v>
      </c>
      <c r="E30" s="493">
        <v>2010</v>
      </c>
      <c r="F30" s="490">
        <v>2010</v>
      </c>
      <c r="H30" t="s">
        <v>1276</v>
      </c>
    </row>
    <row r="31" spans="1:8">
      <c r="A31" s="491">
        <v>11</v>
      </c>
      <c r="B31" s="521" t="s">
        <v>194</v>
      </c>
      <c r="C31" s="521" t="s">
        <v>195</v>
      </c>
      <c r="D31" s="522">
        <v>2011</v>
      </c>
      <c r="E31" s="493">
        <v>2011</v>
      </c>
      <c r="F31" s="490">
        <v>2011</v>
      </c>
      <c r="H31" t="s">
        <v>1276</v>
      </c>
    </row>
    <row r="32" spans="1:8">
      <c r="A32" s="491">
        <v>12</v>
      </c>
      <c r="B32" s="495" t="s">
        <v>196</v>
      </c>
      <c r="C32" s="496" t="s">
        <v>197</v>
      </c>
      <c r="D32" s="492">
        <v>2012</v>
      </c>
      <c r="E32" s="493">
        <v>2012</v>
      </c>
      <c r="F32" s="494" t="e">
        <v>#REF!</v>
      </c>
      <c r="H32" t="s">
        <v>1276</v>
      </c>
    </row>
    <row r="33" spans="1:8">
      <c r="A33" s="515" t="s">
        <v>224</v>
      </c>
      <c r="B33" s="513"/>
      <c r="C33" s="513"/>
      <c r="D33" s="514"/>
      <c r="E33" s="513"/>
      <c r="F33" s="513"/>
      <c r="H33" t="s">
        <v>1276</v>
      </c>
    </row>
    <row r="34" spans="1:8">
      <c r="A34" s="513" t="s">
        <v>134</v>
      </c>
      <c r="B34" s="513">
        <v>1263.649221203714</v>
      </c>
      <c r="C34" s="513"/>
      <c r="D34" s="514"/>
      <c r="E34" s="513"/>
      <c r="F34" s="513"/>
      <c r="H34" t="s">
        <v>1276</v>
      </c>
    </row>
    <row r="35" spans="1:8">
      <c r="A35" s="513" t="s">
        <v>90</v>
      </c>
      <c r="B35" s="513">
        <v>1162.1331471608514</v>
      </c>
      <c r="C35" s="513"/>
      <c r="D35" s="514"/>
      <c r="E35" s="513"/>
      <c r="F35" s="513"/>
      <c r="H35" t="s">
        <v>1276</v>
      </c>
    </row>
    <row r="36" spans="1:8">
      <c r="A36" s="513" t="s">
        <v>146</v>
      </c>
      <c r="B36" s="513">
        <v>1212.4987749778513</v>
      </c>
      <c r="C36" s="513"/>
      <c r="D36" s="514"/>
      <c r="E36" s="513"/>
      <c r="F36" s="513"/>
      <c r="H36" t="s">
        <v>1276</v>
      </c>
    </row>
    <row r="37" spans="1:8">
      <c r="A37" s="513" t="s">
        <v>196</v>
      </c>
      <c r="B37" s="513">
        <v>2012</v>
      </c>
      <c r="C37" s="513"/>
      <c r="D37" s="514"/>
      <c r="E37" s="513"/>
      <c r="F37" s="513"/>
      <c r="H37" t="s">
        <v>1276</v>
      </c>
    </row>
    <row r="38" spans="1:8" ht="13.5" thickBot="1">
      <c r="A38" s="513">
        <v>0</v>
      </c>
      <c r="B38" s="513" t="e">
        <v>#N/A</v>
      </c>
      <c r="C38" s="513"/>
      <c r="D38" s="514"/>
      <c r="E38" s="513"/>
      <c r="F38" s="513"/>
      <c r="H38" t="s">
        <v>1276</v>
      </c>
    </row>
    <row r="39" spans="1:8" ht="13.5" thickBot="1">
      <c r="A39" s="481" t="s">
        <v>4</v>
      </c>
      <c r="B39" s="482" t="s">
        <v>5</v>
      </c>
      <c r="C39" s="483" t="s">
        <v>6</v>
      </c>
      <c r="D39" s="484" t="s">
        <v>183</v>
      </c>
      <c r="E39" s="485" t="s">
        <v>184</v>
      </c>
      <c r="F39" s="484" t="s">
        <v>7</v>
      </c>
      <c r="H39" t="s">
        <v>1277</v>
      </c>
    </row>
    <row r="40" spans="1:8" ht="13.5" thickBot="1">
      <c r="A40" s="486">
        <v>1</v>
      </c>
      <c r="B40" s="487" t="s">
        <v>115</v>
      </c>
      <c r="C40" s="487" t="s">
        <v>116</v>
      </c>
      <c r="D40" s="488">
        <v>1200</v>
      </c>
      <c r="E40" s="489">
        <v>1185.7779264437215</v>
      </c>
      <c r="F40" s="490">
        <v>1185.7779264437215</v>
      </c>
      <c r="H40" t="s">
        <v>1277</v>
      </c>
    </row>
    <row r="41" spans="1:8" ht="13.5" thickBot="1">
      <c r="A41" s="491">
        <v>2</v>
      </c>
      <c r="B41" s="487" t="s">
        <v>152</v>
      </c>
      <c r="C41" s="487" t="s">
        <v>153</v>
      </c>
      <c r="D41" s="488">
        <v>1500</v>
      </c>
      <c r="E41" s="493">
        <v>1530.4660296046136</v>
      </c>
      <c r="F41" s="490">
        <v>1530.4660296046136</v>
      </c>
      <c r="H41" t="s">
        <v>1277</v>
      </c>
    </row>
    <row r="42" spans="1:8" ht="13.5" thickBot="1">
      <c r="A42" s="491">
        <v>3</v>
      </c>
      <c r="B42" s="487" t="s">
        <v>158</v>
      </c>
      <c r="C42" s="487" t="s">
        <v>159</v>
      </c>
      <c r="D42" s="488">
        <v>1400</v>
      </c>
      <c r="E42" s="493">
        <v>1429.6517072742154</v>
      </c>
      <c r="F42" s="490">
        <v>1429.6517072742154</v>
      </c>
      <c r="H42" t="s">
        <v>1277</v>
      </c>
    </row>
    <row r="43" spans="1:8" ht="13.5" thickBot="1">
      <c r="A43" s="491">
        <v>4</v>
      </c>
      <c r="B43" s="487" t="s">
        <v>121</v>
      </c>
      <c r="C43" s="487" t="s">
        <v>122</v>
      </c>
      <c r="D43" s="488">
        <v>1200</v>
      </c>
      <c r="E43" s="493">
        <v>1186.0390794838293</v>
      </c>
      <c r="F43" s="490">
        <v>1186.0390794838293</v>
      </c>
      <c r="H43" t="s">
        <v>1277</v>
      </c>
    </row>
    <row r="44" spans="1:8" ht="13.5" thickBot="1">
      <c r="A44" s="491">
        <v>5</v>
      </c>
      <c r="B44" s="487" t="s">
        <v>90</v>
      </c>
      <c r="C44" s="487" t="s">
        <v>133</v>
      </c>
      <c r="D44" s="488">
        <v>1200</v>
      </c>
      <c r="E44" s="493">
        <v>1207.6014825585389</v>
      </c>
      <c r="F44" s="490">
        <v>1207.6014825585389</v>
      </c>
      <c r="H44" t="s">
        <v>1277</v>
      </c>
    </row>
    <row r="45" spans="1:8" ht="13.5" thickBot="1">
      <c r="A45" s="491">
        <v>6</v>
      </c>
      <c r="B45" s="487" t="s">
        <v>134</v>
      </c>
      <c r="C45" s="487" t="s">
        <v>135</v>
      </c>
      <c r="D45" s="488">
        <v>1200</v>
      </c>
      <c r="E45" s="493">
        <v>1246.3704475419222</v>
      </c>
      <c r="F45" s="490">
        <v>1246.3704475419222</v>
      </c>
      <c r="H45" t="s">
        <v>1277</v>
      </c>
    </row>
    <row r="46" spans="1:8" ht="13.5" thickBot="1">
      <c r="A46" s="491">
        <v>7</v>
      </c>
      <c r="B46" s="487" t="s">
        <v>137</v>
      </c>
      <c r="C46" s="487" t="s">
        <v>138</v>
      </c>
      <c r="D46" s="488">
        <v>1400</v>
      </c>
      <c r="E46" s="493">
        <v>1367.8516260143563</v>
      </c>
      <c r="F46" s="490">
        <v>1367.8516260143563</v>
      </c>
      <c r="H46" t="s">
        <v>1277</v>
      </c>
    </row>
    <row r="47" spans="1:8" ht="13.5" thickBot="1">
      <c r="A47" s="491">
        <v>8</v>
      </c>
      <c r="B47" s="487" t="s">
        <v>161</v>
      </c>
      <c r="C47" s="487" t="s">
        <v>162</v>
      </c>
      <c r="D47" s="488">
        <v>1400</v>
      </c>
      <c r="E47" s="493">
        <v>1361.9324878368475</v>
      </c>
      <c r="F47" s="490">
        <v>1361.9324878368475</v>
      </c>
      <c r="H47" t="s">
        <v>1277</v>
      </c>
    </row>
    <row r="48" spans="1:8" ht="13.5" thickBot="1">
      <c r="A48" s="491">
        <v>9</v>
      </c>
      <c r="B48" s="487" t="s">
        <v>146</v>
      </c>
      <c r="C48" s="487" t="s">
        <v>96</v>
      </c>
      <c r="D48" s="488">
        <v>1200</v>
      </c>
      <c r="E48" s="493">
        <v>1184.3092132419554</v>
      </c>
      <c r="F48" s="490">
        <v>1184.3092132419554</v>
      </c>
      <c r="H48" t="s">
        <v>1277</v>
      </c>
    </row>
    <row r="49" spans="1:8" ht="13.5" thickBot="1">
      <c r="A49" s="491">
        <v>10</v>
      </c>
      <c r="B49" s="495" t="s">
        <v>192</v>
      </c>
      <c r="C49" s="496" t="s">
        <v>193</v>
      </c>
      <c r="D49" s="492">
        <v>2010</v>
      </c>
      <c r="E49" s="493">
        <v>2010</v>
      </c>
      <c r="F49" s="490">
        <v>2010</v>
      </c>
      <c r="H49" t="s">
        <v>1277</v>
      </c>
    </row>
    <row r="50" spans="1:8">
      <c r="A50" s="491">
        <v>11</v>
      </c>
      <c r="B50" s="495" t="s">
        <v>194</v>
      </c>
      <c r="C50" s="496" t="s">
        <v>195</v>
      </c>
      <c r="D50" s="492">
        <v>2011</v>
      </c>
      <c r="E50" s="493">
        <v>2011</v>
      </c>
      <c r="F50" s="490">
        <v>2011</v>
      </c>
      <c r="H50" t="s">
        <v>1277</v>
      </c>
    </row>
    <row r="51" spans="1:8">
      <c r="A51" s="491">
        <v>12</v>
      </c>
      <c r="B51" s="495" t="s">
        <v>196</v>
      </c>
      <c r="C51" s="496" t="s">
        <v>197</v>
      </c>
      <c r="D51" s="492">
        <v>2012</v>
      </c>
      <c r="E51" s="493">
        <v>2012</v>
      </c>
      <c r="F51" s="494" t="e">
        <v>#REF!</v>
      </c>
      <c r="H51" t="s">
        <v>1277</v>
      </c>
    </row>
    <row r="52" spans="1:8">
      <c r="A52" s="515" t="s">
        <v>224</v>
      </c>
      <c r="B52" s="513"/>
      <c r="C52" s="513"/>
      <c r="D52" s="514"/>
      <c r="E52" s="513"/>
      <c r="F52" s="513"/>
      <c r="H52" t="s">
        <v>1277</v>
      </c>
    </row>
    <row r="53" spans="1:8">
      <c r="A53" s="513" t="s">
        <v>115</v>
      </c>
      <c r="B53" s="513">
        <v>1185.7779264437215</v>
      </c>
      <c r="C53" s="513"/>
      <c r="D53" s="514"/>
      <c r="E53" s="513"/>
      <c r="F53" s="513"/>
      <c r="H53" t="s">
        <v>1277</v>
      </c>
    </row>
    <row r="54" spans="1:8">
      <c r="A54" s="513" t="s">
        <v>134</v>
      </c>
      <c r="B54" s="513">
        <v>1246.3704475419222</v>
      </c>
      <c r="C54" s="513"/>
      <c r="D54" s="514"/>
      <c r="E54" s="513"/>
      <c r="F54" s="513"/>
      <c r="H54" t="s">
        <v>1277</v>
      </c>
    </row>
    <row r="55" spans="1:8">
      <c r="A55" s="513" t="s">
        <v>137</v>
      </c>
      <c r="B55" s="513">
        <v>1367.8516260143563</v>
      </c>
      <c r="C55" s="513"/>
      <c r="D55" s="514"/>
      <c r="E55" s="513"/>
      <c r="F55" s="513"/>
      <c r="H55" t="s">
        <v>1277</v>
      </c>
    </row>
    <row r="56" spans="1:8">
      <c r="A56" s="513" t="s">
        <v>196</v>
      </c>
      <c r="B56" s="513">
        <v>2012</v>
      </c>
      <c r="C56" s="513"/>
      <c r="D56" s="514"/>
      <c r="E56" s="513"/>
      <c r="F56" s="513"/>
      <c r="H56" t="s">
        <v>1277</v>
      </c>
    </row>
    <row r="57" spans="1:8" ht="13.5" thickBot="1">
      <c r="A57" s="513">
        <v>0</v>
      </c>
      <c r="B57" s="513" t="e">
        <v>#N/A</v>
      </c>
      <c r="C57" s="513"/>
      <c r="D57" s="514"/>
      <c r="E57" s="513"/>
      <c r="F57" s="513"/>
      <c r="H57" t="s">
        <v>1277</v>
      </c>
    </row>
    <row r="58" spans="1:8" ht="13.5" thickBot="1">
      <c r="A58" s="138" t="s">
        <v>4</v>
      </c>
      <c r="B58" s="139" t="s">
        <v>5</v>
      </c>
      <c r="C58" s="140" t="s">
        <v>6</v>
      </c>
      <c r="D58" s="535" t="s">
        <v>183</v>
      </c>
      <c r="E58" s="536" t="s">
        <v>184</v>
      </c>
      <c r="F58" s="535" t="s">
        <v>7</v>
      </c>
      <c r="H58" t="s">
        <v>1278</v>
      </c>
    </row>
    <row r="59" spans="1:8">
      <c r="A59" s="141">
        <v>1</v>
      </c>
      <c r="B59" s="142" t="s">
        <v>164</v>
      </c>
      <c r="C59" s="143" t="s">
        <v>165</v>
      </c>
      <c r="D59" s="821">
        <v>1422.8576396200242</v>
      </c>
      <c r="E59" s="552">
        <v>1428.9471659044832</v>
      </c>
      <c r="F59" s="756">
        <v>1428.9471659044832</v>
      </c>
      <c r="H59" t="s">
        <v>1278</v>
      </c>
    </row>
    <row r="60" spans="1:8">
      <c r="A60" s="94">
        <v>2</v>
      </c>
      <c r="B60" s="148" t="s">
        <v>299</v>
      </c>
      <c r="C60" s="149" t="s">
        <v>300</v>
      </c>
      <c r="D60" s="821">
        <v>1223.9169286732151</v>
      </c>
      <c r="E60" s="561">
        <v>1178.1633229210488</v>
      </c>
      <c r="F60" s="553">
        <v>1178.1633229210488</v>
      </c>
      <c r="H60" t="s">
        <v>1278</v>
      </c>
    </row>
    <row r="61" spans="1:8">
      <c r="A61" s="94">
        <v>3</v>
      </c>
      <c r="B61" s="148" t="s">
        <v>173</v>
      </c>
      <c r="C61" s="149" t="s">
        <v>174</v>
      </c>
      <c r="D61" s="821">
        <v>1191.7380642227506</v>
      </c>
      <c r="E61" s="561">
        <v>1202.6504789498138</v>
      </c>
      <c r="F61" s="553">
        <v>1202.6504789498138</v>
      </c>
      <c r="H61" t="s">
        <v>1278</v>
      </c>
    </row>
    <row r="62" spans="1:8">
      <c r="A62" s="94">
        <v>4</v>
      </c>
      <c r="B62" s="148" t="s">
        <v>131</v>
      </c>
      <c r="C62" s="149" t="s">
        <v>94</v>
      </c>
      <c r="D62" s="821">
        <v>1162.564148165184</v>
      </c>
      <c r="E62" s="561">
        <v>1207.4161667092396</v>
      </c>
      <c r="F62" s="553">
        <v>1207.4161667092396</v>
      </c>
      <c r="H62" t="s">
        <v>1278</v>
      </c>
    </row>
    <row r="63" spans="1:8">
      <c r="A63" s="94">
        <v>5</v>
      </c>
      <c r="B63" s="148" t="s">
        <v>88</v>
      </c>
      <c r="C63" s="149" t="s">
        <v>95</v>
      </c>
      <c r="D63" s="821">
        <v>1222.6612835415767</v>
      </c>
      <c r="E63" s="561">
        <v>1267.295655925891</v>
      </c>
      <c r="F63" s="553">
        <v>1267.295655925891</v>
      </c>
      <c r="H63" t="s">
        <v>1278</v>
      </c>
    </row>
    <row r="64" spans="1:8">
      <c r="A64" s="94">
        <v>6</v>
      </c>
      <c r="B64" s="148" t="s">
        <v>167</v>
      </c>
      <c r="C64" s="149" t="s">
        <v>168</v>
      </c>
      <c r="D64" s="821">
        <v>1421.7808589388503</v>
      </c>
      <c r="E64" s="561">
        <v>1445.6204424026257</v>
      </c>
      <c r="F64" s="553">
        <v>1445.6204424026257</v>
      </c>
      <c r="H64" t="s">
        <v>1278</v>
      </c>
    </row>
    <row r="65" spans="1:8">
      <c r="A65" s="94">
        <v>7</v>
      </c>
      <c r="B65" s="148" t="s">
        <v>143</v>
      </c>
      <c r="C65" s="149" t="s">
        <v>144</v>
      </c>
      <c r="D65" s="821">
        <v>1433.2800128984868</v>
      </c>
      <c r="E65" s="561">
        <v>1423.113267317799</v>
      </c>
      <c r="F65" s="553">
        <v>1423.113267317799</v>
      </c>
      <c r="H65" t="s">
        <v>1278</v>
      </c>
    </row>
    <row r="66" spans="1:8">
      <c r="A66" s="94">
        <v>8</v>
      </c>
      <c r="B66" s="148" t="s">
        <v>148</v>
      </c>
      <c r="C66" s="149" t="s">
        <v>149</v>
      </c>
      <c r="D66" s="821">
        <v>1193.0947726176266</v>
      </c>
      <c r="E66" s="561">
        <v>1197.8219776000703</v>
      </c>
      <c r="F66" s="553">
        <v>1197.8219776000703</v>
      </c>
      <c r="H66" t="s">
        <v>1278</v>
      </c>
    </row>
    <row r="67" spans="1:8">
      <c r="A67" s="94">
        <v>9</v>
      </c>
      <c r="B67" s="148" t="s">
        <v>304</v>
      </c>
      <c r="C67" s="149" t="s">
        <v>305</v>
      </c>
      <c r="D67" s="821">
        <v>1161.3863042207724</v>
      </c>
      <c r="E67" s="561">
        <v>1105.6218709496536</v>
      </c>
      <c r="F67" s="553">
        <v>1105.6218709496536</v>
      </c>
      <c r="H67" t="s">
        <v>1278</v>
      </c>
    </row>
    <row r="68" spans="1:8">
      <c r="A68" s="94">
        <v>10</v>
      </c>
      <c r="B68" s="148" t="s">
        <v>170</v>
      </c>
      <c r="C68" s="149" t="s">
        <v>171</v>
      </c>
      <c r="D68" s="821">
        <v>1240.6866470437872</v>
      </c>
      <c r="E68" s="561">
        <v>1237.0786754291955</v>
      </c>
      <c r="F68" s="553">
        <v>1237.0786754291955</v>
      </c>
      <c r="H68" t="s">
        <v>1278</v>
      </c>
    </row>
    <row r="69" spans="1:8">
      <c r="A69" s="94">
        <v>11</v>
      </c>
      <c r="B69" s="148" t="s">
        <v>127</v>
      </c>
      <c r="C69" s="149" t="s">
        <v>128</v>
      </c>
      <c r="D69" s="821">
        <v>1192.7000067243928</v>
      </c>
      <c r="E69" s="561">
        <v>1172.9376425568462</v>
      </c>
      <c r="F69" s="553">
        <v>1172.9376425568462</v>
      </c>
      <c r="H69" t="s">
        <v>1278</v>
      </c>
    </row>
    <row r="70" spans="1:8">
      <c r="A70" s="169" t="s">
        <v>224</v>
      </c>
      <c r="B70" s="117"/>
      <c r="C70" s="117"/>
      <c r="D70" s="170"/>
      <c r="E70" s="117"/>
      <c r="F70" s="117"/>
      <c r="H70" t="s">
        <v>1278</v>
      </c>
    </row>
    <row r="71" spans="1:8">
      <c r="A71" s="117" t="s">
        <v>164</v>
      </c>
      <c r="B71" s="117">
        <v>1428.9471659044832</v>
      </c>
      <c r="C71" s="117"/>
      <c r="D71" s="170"/>
      <c r="E71" s="117"/>
      <c r="F71" s="117"/>
      <c r="H71" t="s">
        <v>1278</v>
      </c>
    </row>
    <row r="72" spans="1:8">
      <c r="A72" s="117" t="s">
        <v>167</v>
      </c>
      <c r="B72" s="117">
        <v>1445.6204424026257</v>
      </c>
      <c r="C72" s="117"/>
      <c r="D72" s="170"/>
      <c r="E72" s="117"/>
      <c r="F72" s="117"/>
      <c r="H72" t="s">
        <v>1278</v>
      </c>
    </row>
    <row r="73" spans="1:8">
      <c r="A73" s="117" t="s">
        <v>143</v>
      </c>
      <c r="B73" s="117">
        <v>1423.113267317799</v>
      </c>
      <c r="C73" s="117"/>
      <c r="D73" s="170"/>
      <c r="E73" s="117"/>
      <c r="F73" s="117"/>
      <c r="H73" t="s">
        <v>1278</v>
      </c>
    </row>
    <row r="74" spans="1:8">
      <c r="A74" s="117" t="s">
        <v>127</v>
      </c>
      <c r="B74" s="117">
        <v>1172.9376425568462</v>
      </c>
      <c r="C74" s="117"/>
      <c r="D74" s="170"/>
      <c r="E74" s="117"/>
      <c r="F74" s="117"/>
      <c r="H74" t="s">
        <v>1278</v>
      </c>
    </row>
    <row r="75" spans="1:8" ht="13.5" thickBot="1">
      <c r="A75" s="117">
        <v>0</v>
      </c>
      <c r="B75" s="117" t="e">
        <v>#N/A</v>
      </c>
      <c r="C75" s="117"/>
      <c r="D75" s="170"/>
      <c r="E75" s="117"/>
      <c r="F75" s="117"/>
      <c r="H75" t="s">
        <v>1278</v>
      </c>
    </row>
    <row r="76" spans="1:8" ht="13.5" thickBot="1">
      <c r="A76" s="138" t="s">
        <v>4</v>
      </c>
      <c r="B76" s="139" t="s">
        <v>5</v>
      </c>
      <c r="C76" s="140" t="s">
        <v>6</v>
      </c>
      <c r="D76" s="535" t="s">
        <v>183</v>
      </c>
      <c r="E76" s="536" t="s">
        <v>184</v>
      </c>
      <c r="F76" s="535" t="s">
        <v>7</v>
      </c>
      <c r="H76" t="s">
        <v>1279</v>
      </c>
    </row>
    <row r="77" spans="1:8">
      <c r="A77" s="141">
        <v>1</v>
      </c>
      <c r="B77" s="142" t="s">
        <v>164</v>
      </c>
      <c r="C77" s="143" t="s">
        <v>165</v>
      </c>
      <c r="D77" s="488">
        <v>1400</v>
      </c>
      <c r="E77" s="552">
        <v>1422.8576396200242</v>
      </c>
      <c r="F77" s="756">
        <v>1422.8576396200242</v>
      </c>
      <c r="H77" t="s">
        <v>1279</v>
      </c>
    </row>
    <row r="78" spans="1:8">
      <c r="A78" s="94">
        <v>2</v>
      </c>
      <c r="B78" s="148" t="s">
        <v>167</v>
      </c>
      <c r="C78" s="149" t="s">
        <v>168</v>
      </c>
      <c r="D78" s="488">
        <v>1400</v>
      </c>
      <c r="E78" s="561">
        <v>1421.7808589388503</v>
      </c>
      <c r="F78" s="553">
        <v>1421.7808589388503</v>
      </c>
      <c r="H78" t="s">
        <v>1279</v>
      </c>
    </row>
    <row r="79" spans="1:8">
      <c r="A79" s="94">
        <v>3</v>
      </c>
      <c r="B79" s="148" t="s">
        <v>170</v>
      </c>
      <c r="C79" s="149" t="s">
        <v>171</v>
      </c>
      <c r="D79" s="488">
        <v>1266.6666666666667</v>
      </c>
      <c r="E79" s="561">
        <v>1240.6866470437872</v>
      </c>
      <c r="F79" s="553">
        <v>1240.6866470437872</v>
      </c>
      <c r="H79" t="s">
        <v>1279</v>
      </c>
    </row>
    <row r="80" spans="1:8">
      <c r="A80" s="94">
        <v>4</v>
      </c>
      <c r="B80" s="148" t="s">
        <v>127</v>
      </c>
      <c r="C80" s="149" t="s">
        <v>128</v>
      </c>
      <c r="D80" s="488">
        <v>1200</v>
      </c>
      <c r="E80" s="561">
        <v>1192.7000067243928</v>
      </c>
      <c r="F80" s="553">
        <v>1192.7000067243928</v>
      </c>
      <c r="H80" t="s">
        <v>1279</v>
      </c>
    </row>
    <row r="81" spans="1:8">
      <c r="A81" s="94">
        <v>5</v>
      </c>
      <c r="B81" s="148" t="s">
        <v>173</v>
      </c>
      <c r="C81" s="149" t="s">
        <v>174</v>
      </c>
      <c r="D81" s="488">
        <v>1200</v>
      </c>
      <c r="E81" s="561">
        <v>1191.7380642227506</v>
      </c>
      <c r="F81" s="553">
        <v>1191.7380642227506</v>
      </c>
      <c r="H81" t="s">
        <v>1279</v>
      </c>
    </row>
    <row r="82" spans="1:8">
      <c r="A82" s="94">
        <v>6</v>
      </c>
      <c r="B82" s="148" t="s">
        <v>88</v>
      </c>
      <c r="C82" s="149" t="s">
        <v>95</v>
      </c>
      <c r="D82" s="488">
        <v>1200</v>
      </c>
      <c r="E82" s="561">
        <v>1222.6612835415767</v>
      </c>
      <c r="F82" s="553">
        <v>1222.6612835415767</v>
      </c>
      <c r="H82" t="s">
        <v>1279</v>
      </c>
    </row>
    <row r="83" spans="1:8">
      <c r="A83" s="94">
        <v>7</v>
      </c>
      <c r="B83" s="148" t="s">
        <v>148</v>
      </c>
      <c r="C83" s="149" t="s">
        <v>149</v>
      </c>
      <c r="D83" s="488">
        <v>1200</v>
      </c>
      <c r="E83" s="561">
        <v>1193.0947726176266</v>
      </c>
      <c r="F83" s="553">
        <v>1193.0947726176266</v>
      </c>
      <c r="H83" t="s">
        <v>1279</v>
      </c>
    </row>
    <row r="84" spans="1:8">
      <c r="A84" s="94">
        <v>8</v>
      </c>
      <c r="B84" s="148" t="s">
        <v>131</v>
      </c>
      <c r="C84" s="149" t="s">
        <v>94</v>
      </c>
      <c r="D84" s="488">
        <v>1200</v>
      </c>
      <c r="E84" s="561">
        <v>1162.564148165184</v>
      </c>
      <c r="F84" s="553">
        <v>1162.564148165184</v>
      </c>
      <c r="H84" t="s">
        <v>1279</v>
      </c>
    </row>
    <row r="85" spans="1:8">
      <c r="A85" s="94">
        <v>9</v>
      </c>
      <c r="B85" s="148" t="s">
        <v>143</v>
      </c>
      <c r="C85" s="149" t="s">
        <v>144</v>
      </c>
      <c r="D85" s="488">
        <v>1400</v>
      </c>
      <c r="E85" s="561">
        <v>1433.2800128984868</v>
      </c>
      <c r="F85" s="553">
        <v>1433.2800128984868</v>
      </c>
      <c r="H85" t="s">
        <v>1279</v>
      </c>
    </row>
    <row r="86" spans="1:8">
      <c r="A86" s="94">
        <v>10</v>
      </c>
      <c r="B86" s="148" t="s">
        <v>299</v>
      </c>
      <c r="C86" s="149" t="s">
        <v>300</v>
      </c>
      <c r="D86" s="488">
        <v>1200</v>
      </c>
      <c r="E86" s="561">
        <v>1223.9169286732151</v>
      </c>
      <c r="F86" s="553">
        <v>1223.9169286732151</v>
      </c>
      <c r="H86" t="s">
        <v>1279</v>
      </c>
    </row>
    <row r="87" spans="1:8">
      <c r="A87" s="94">
        <v>11</v>
      </c>
      <c r="B87" s="148" t="s">
        <v>304</v>
      </c>
      <c r="C87" s="149" t="s">
        <v>305</v>
      </c>
      <c r="D87" s="488">
        <v>1200</v>
      </c>
      <c r="E87" s="561">
        <v>1161.3863042207724</v>
      </c>
      <c r="F87" s="553">
        <v>1161.3863042207724</v>
      </c>
      <c r="H87" t="s">
        <v>1279</v>
      </c>
    </row>
    <row r="88" spans="1:8">
      <c r="A88" s="169" t="s">
        <v>224</v>
      </c>
      <c r="B88" s="117"/>
      <c r="C88" s="117"/>
      <c r="D88" s="170"/>
      <c r="E88" s="117"/>
      <c r="F88" s="117"/>
      <c r="H88" t="s">
        <v>1279</v>
      </c>
    </row>
    <row r="89" spans="1:8">
      <c r="A89" s="117" t="s">
        <v>164</v>
      </c>
      <c r="B89" s="117">
        <v>1422.8576396200242</v>
      </c>
      <c r="C89" s="117"/>
      <c r="D89" s="170"/>
      <c r="E89" s="117"/>
      <c r="F89" s="117"/>
      <c r="H89" t="s">
        <v>1279</v>
      </c>
    </row>
    <row r="90" spans="1:8">
      <c r="A90" s="117" t="s">
        <v>88</v>
      </c>
      <c r="B90" s="117">
        <v>1222.6612835415767</v>
      </c>
      <c r="C90" s="117"/>
      <c r="D90" s="170"/>
      <c r="E90" s="117"/>
      <c r="F90" s="117"/>
      <c r="H90" t="s">
        <v>1279</v>
      </c>
    </row>
    <row r="91" spans="1:8">
      <c r="A91" s="117" t="s">
        <v>148</v>
      </c>
      <c r="B91" s="117">
        <v>1193.0947726176266</v>
      </c>
      <c r="C91" s="117"/>
      <c r="D91" s="170"/>
      <c r="E91" s="117"/>
      <c r="F91" s="117"/>
      <c r="H91" t="s">
        <v>1279</v>
      </c>
    </row>
    <row r="92" spans="1:8">
      <c r="A92" s="117" t="s">
        <v>304</v>
      </c>
      <c r="B92" s="117">
        <v>1161.3863042207724</v>
      </c>
      <c r="C92" s="117"/>
      <c r="D92" s="170"/>
      <c r="E92" s="117"/>
      <c r="F92" s="117"/>
      <c r="H92" t="s">
        <v>1279</v>
      </c>
    </row>
    <row r="93" spans="1:8">
      <c r="A93" s="117">
        <v>0</v>
      </c>
      <c r="B93" s="117" t="e">
        <v>#N/A</v>
      </c>
      <c r="C93" s="117"/>
      <c r="D93" s="170"/>
      <c r="E93" s="117"/>
      <c r="F93" s="117"/>
      <c r="H93" t="s">
        <v>1279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0">
    <tabColor rgb="FF7030A0"/>
  </sheetPr>
  <dimension ref="A1:BB519"/>
  <sheetViews>
    <sheetView tabSelected="1" topLeftCell="AK1" zoomScaleNormal="100" workbookViewId="0">
      <selection activeCell="AY4" sqref="AY4"/>
    </sheetView>
  </sheetViews>
  <sheetFormatPr defaultColWidth="8.7109375" defaultRowHeight="12.75"/>
  <cols>
    <col min="1" max="1" width="8.7109375" style="3"/>
    <col min="2" max="2" width="3.7109375" style="3" customWidth="1"/>
    <col min="3" max="3" width="2.28515625" style="3" customWidth="1"/>
    <col min="4" max="5" width="3.7109375" style="3" customWidth="1"/>
    <col min="6" max="6" width="2.28515625" style="3" customWidth="1"/>
    <col min="7" max="8" width="3.7109375" style="3" customWidth="1"/>
    <col min="9" max="9" width="2.28515625" style="3" customWidth="1"/>
    <col min="10" max="11" width="3.7109375" style="3" customWidth="1"/>
    <col min="12" max="12" width="2.28515625" style="3" customWidth="1"/>
    <col min="13" max="14" width="3.7109375" style="3" customWidth="1"/>
    <col min="15" max="15" width="2.28515625" style="3" customWidth="1"/>
    <col min="16" max="17" width="3.7109375" style="3" customWidth="1"/>
    <col min="18" max="18" width="2.28515625" style="3" customWidth="1"/>
    <col min="19" max="20" width="3.7109375" style="3" customWidth="1"/>
    <col min="21" max="21" width="2.28515625" style="3" customWidth="1"/>
    <col min="22" max="23" width="3.7109375" style="3" customWidth="1"/>
    <col min="24" max="24" width="2.28515625" style="3" customWidth="1"/>
    <col min="25" max="26" width="3.7109375" style="3" customWidth="1"/>
    <col min="27" max="27" width="2.28515625" style="3" customWidth="1"/>
    <col min="28" max="29" width="3.7109375" style="3" customWidth="1"/>
    <col min="30" max="30" width="2.28515625" style="3" customWidth="1"/>
    <col min="31" max="31" width="3.7109375" style="3" customWidth="1"/>
    <col min="32" max="32" width="9.7109375" style="3" customWidth="1"/>
    <col min="33" max="42" width="3.7109375" style="3" customWidth="1"/>
    <col min="43" max="43" width="11" style="3" customWidth="1"/>
    <col min="44" max="45" width="8.7109375" style="3"/>
    <col min="46" max="46" width="8.7109375" style="508"/>
    <col min="47" max="47" width="21" style="508" customWidth="1"/>
    <col min="48" max="48" width="24.42578125" style="508" customWidth="1"/>
    <col min="49" max="49" width="15.140625" style="512" customWidth="1"/>
    <col min="50" max="50" width="10.5703125" style="508" customWidth="1"/>
    <col min="51" max="51" width="11.140625" style="508" customWidth="1"/>
    <col min="52" max="52" width="25" style="3" customWidth="1"/>
    <col min="53" max="53" width="6" style="3" customWidth="1"/>
    <col min="54" max="16384" width="8.7109375" style="3"/>
  </cols>
  <sheetData>
    <row r="1" spans="1:53" ht="13.5" thickBot="1">
      <c r="A1" s="264" t="s">
        <v>0</v>
      </c>
      <c r="B1" s="264"/>
      <c r="C1" s="264"/>
      <c r="D1" s="264"/>
      <c r="E1" s="264"/>
      <c r="F1" s="264"/>
      <c r="G1" s="264"/>
      <c r="H1" s="264"/>
      <c r="I1" s="264"/>
      <c r="J1" s="264"/>
      <c r="K1" s="264"/>
      <c r="L1" s="264"/>
      <c r="M1" s="264"/>
      <c r="N1" s="264"/>
      <c r="O1" s="264"/>
      <c r="P1" s="264"/>
      <c r="Q1" s="264"/>
      <c r="R1" s="264"/>
      <c r="S1" s="264"/>
      <c r="T1" s="264"/>
      <c r="U1" s="264"/>
      <c r="V1" s="264"/>
      <c r="W1" s="264"/>
      <c r="X1" s="264"/>
      <c r="Y1" s="264"/>
      <c r="Z1" s="264"/>
      <c r="AA1" s="264"/>
      <c r="AB1" s="264"/>
      <c r="AC1" s="264"/>
      <c r="AD1" s="264"/>
      <c r="AE1" s="264"/>
      <c r="AF1" s="92"/>
      <c r="AG1" s="92"/>
      <c r="AH1" s="92"/>
      <c r="AI1" s="92"/>
      <c r="AJ1" s="92"/>
      <c r="AK1" s="92"/>
      <c r="AL1" s="92"/>
      <c r="AM1" s="92"/>
      <c r="AN1" s="92"/>
      <c r="AO1" s="92"/>
      <c r="AP1" s="92"/>
      <c r="AQ1" s="130" t="s">
        <v>179</v>
      </c>
      <c r="AR1" s="46"/>
      <c r="AT1" s="476" t="s">
        <v>1</v>
      </c>
      <c r="AU1" s="477"/>
      <c r="AV1" s="477"/>
      <c r="AW1" s="478"/>
      <c r="AX1" s="479" t="s">
        <v>180</v>
      </c>
      <c r="AY1" s="480"/>
      <c r="AZ1" s="131" t="s">
        <v>181</v>
      </c>
      <c r="BA1" s="132">
        <v>16</v>
      </c>
    </row>
    <row r="2" spans="1:53" ht="18.75" customHeight="1" thickBot="1">
      <c r="A2" s="93"/>
      <c r="B2" s="133" t="s">
        <v>2</v>
      </c>
      <c r="C2" s="134"/>
      <c r="D2" s="134"/>
      <c r="E2" s="135"/>
      <c r="F2" s="135"/>
      <c r="G2" s="136"/>
      <c r="H2" s="135"/>
      <c r="I2" s="137"/>
      <c r="J2" s="249" t="s">
        <v>182</v>
      </c>
      <c r="K2" s="250"/>
      <c r="L2" s="250"/>
      <c r="M2" s="250"/>
      <c r="N2" s="250"/>
      <c r="O2" s="250"/>
      <c r="P2" s="250"/>
      <c r="Q2" s="250"/>
      <c r="R2" s="250"/>
      <c r="S2" s="250"/>
      <c r="T2" s="251"/>
      <c r="U2" s="252" t="s">
        <v>3</v>
      </c>
      <c r="V2" s="253"/>
      <c r="W2" s="254"/>
      <c r="X2" s="255">
        <v>42378</v>
      </c>
      <c r="Y2" s="256"/>
      <c r="Z2" s="256"/>
      <c r="AA2" s="256"/>
      <c r="AB2" s="256"/>
      <c r="AC2" s="256"/>
      <c r="AD2" s="256"/>
      <c r="AE2" s="257"/>
      <c r="AF2" s="1"/>
      <c r="AG2" s="1"/>
      <c r="AH2" s="1"/>
      <c r="AI2" s="1"/>
      <c r="AJ2" s="1"/>
      <c r="AK2" s="1"/>
      <c r="AL2" s="1"/>
      <c r="AM2" s="1"/>
      <c r="AN2" s="1"/>
      <c r="AO2" s="1"/>
      <c r="AP2" s="1"/>
      <c r="AQ2" s="1"/>
      <c r="AR2" s="46"/>
      <c r="AT2" s="481" t="s">
        <v>4</v>
      </c>
      <c r="AU2" s="482" t="s">
        <v>5</v>
      </c>
      <c r="AV2" s="483" t="s">
        <v>6</v>
      </c>
      <c r="AW2" s="484" t="s">
        <v>183</v>
      </c>
      <c r="AX2" s="485" t="s">
        <v>184</v>
      </c>
      <c r="AY2" s="484" t="s">
        <v>7</v>
      </c>
      <c r="AZ2" s="131" t="s">
        <v>185</v>
      </c>
      <c r="BA2" s="132">
        <v>16</v>
      </c>
    </row>
    <row r="3" spans="1:53" ht="18.75" customHeight="1" thickBot="1">
      <c r="A3" s="93"/>
      <c r="B3" s="265" t="s">
        <v>8</v>
      </c>
      <c r="C3" s="266"/>
      <c r="D3" s="267" t="s">
        <v>253</v>
      </c>
      <c r="E3" s="268"/>
      <c r="F3" s="268"/>
      <c r="G3" s="268"/>
      <c r="H3" s="268"/>
      <c r="I3" s="268"/>
      <c r="J3" s="268"/>
      <c r="K3" s="269"/>
      <c r="L3" s="270" t="s">
        <v>9</v>
      </c>
      <c r="M3" s="271"/>
      <c r="N3" s="272"/>
      <c r="O3" s="273"/>
      <c r="P3" s="249" t="s">
        <v>186</v>
      </c>
      <c r="Q3" s="250"/>
      <c r="R3" s="250"/>
      <c r="S3" s="250"/>
      <c r="T3" s="251"/>
      <c r="U3" s="260" t="s">
        <v>10</v>
      </c>
      <c r="V3" s="261"/>
      <c r="W3" s="261"/>
      <c r="X3" s="261"/>
      <c r="Y3" s="261"/>
      <c r="Z3" s="262"/>
      <c r="AA3" s="95"/>
      <c r="AB3" s="263" t="s">
        <v>11</v>
      </c>
      <c r="AC3" s="263"/>
      <c r="AD3" s="258" t="s">
        <v>12</v>
      </c>
      <c r="AE3" s="259"/>
      <c r="AF3" s="1"/>
      <c r="AG3" s="1"/>
      <c r="AH3" s="1"/>
      <c r="AI3" s="1"/>
      <c r="AJ3" s="1"/>
      <c r="AK3" s="1"/>
      <c r="AL3" s="1"/>
      <c r="AM3" s="1"/>
      <c r="AN3" s="1"/>
      <c r="AO3" s="1"/>
      <c r="AP3" s="1"/>
      <c r="AQ3" s="1"/>
      <c r="AR3" s="46"/>
      <c r="AT3" s="486">
        <v>1</v>
      </c>
      <c r="AU3" s="521" t="str">
        <f>'AM 9 Team Pool - Rnd 1'!AU3</f>
        <v>Columbia SC Starlings 12</v>
      </c>
      <c r="AV3" s="521" t="str">
        <f>'AM 9 Team Pool - Rnd 1'!AV3</f>
        <v>fj2starl1pm</v>
      </c>
      <c r="AW3" s="522">
        <f>'AM 9 Team Pool - Rnd 2'!AX3</f>
        <v>1179.7721457596278</v>
      </c>
      <c r="AX3" s="489">
        <f t="shared" ref="AX3:AX14" si="0">VLOOKUP(AU3,AT$79:AU$259,2,FALSE)</f>
        <v>1169.9965894145842</v>
      </c>
      <c r="AY3" s="490">
        <f>AX3</f>
        <v>1169.9965894145842</v>
      </c>
    </row>
    <row r="4" spans="1:53" ht="24" customHeight="1" thickBot="1">
      <c r="A4" s="93"/>
      <c r="B4" s="144"/>
      <c r="C4" s="144"/>
      <c r="D4" s="145"/>
      <c r="E4" s="146"/>
      <c r="F4" s="147"/>
      <c r="G4" s="147"/>
      <c r="H4" s="282" t="s">
        <v>13</v>
      </c>
      <c r="I4" s="283"/>
      <c r="J4" s="284"/>
      <c r="K4" s="284"/>
      <c r="L4" s="284"/>
      <c r="M4" s="285"/>
      <c r="N4" s="286"/>
      <c r="O4" s="286"/>
      <c r="P4" s="286"/>
      <c r="Q4" s="286"/>
      <c r="R4" s="286"/>
      <c r="S4" s="286"/>
      <c r="T4" s="287"/>
      <c r="U4" s="288" t="s">
        <v>14</v>
      </c>
      <c r="V4" s="289"/>
      <c r="W4" s="289"/>
      <c r="X4" s="289"/>
      <c r="Y4" s="290"/>
      <c r="Z4" s="291"/>
      <c r="AA4" s="286"/>
      <c r="AB4" s="286"/>
      <c r="AC4" s="286"/>
      <c r="AD4" s="286"/>
      <c r="AE4" s="287"/>
      <c r="AF4" s="1"/>
      <c r="AG4" s="1"/>
      <c r="AH4" s="1"/>
      <c r="AI4" s="1"/>
      <c r="AJ4" s="1"/>
      <c r="AK4" s="1"/>
      <c r="AL4" s="1"/>
      <c r="AM4" s="1"/>
      <c r="AN4" s="1"/>
      <c r="AO4" s="1"/>
      <c r="AP4" s="1"/>
      <c r="AQ4" s="1"/>
      <c r="AR4" s="46"/>
      <c r="AT4" s="491">
        <v>2</v>
      </c>
      <c r="AU4" s="521" t="str">
        <f>'AM 9 Team Pool - Rnd 1'!AU4</f>
        <v>Magnum 12 Black</v>
      </c>
      <c r="AV4" s="521" t="str">
        <f>'AM 9 Team Pool - Rnd 1'!AV4</f>
        <v>fj2magnm1pm</v>
      </c>
      <c r="AW4" s="522">
        <f>'AM 9 Team Pool - Rnd 2'!AX4</f>
        <v>1541.8981701239713</v>
      </c>
      <c r="AX4" s="493">
        <f t="shared" si="0"/>
        <v>1557.5535974664533</v>
      </c>
      <c r="AY4" s="490">
        <f t="shared" ref="AY4:AY13" si="1">AX4</f>
        <v>1557.5535974664533</v>
      </c>
    </row>
    <row r="5" spans="1:53" ht="15.75" thickBot="1">
      <c r="A5" s="92" t="s">
        <v>15</v>
      </c>
      <c r="B5" s="292" t="s">
        <v>15</v>
      </c>
      <c r="C5" s="293"/>
      <c r="D5" s="293"/>
      <c r="E5" s="293"/>
      <c r="F5" s="293"/>
      <c r="G5" s="293"/>
      <c r="H5" s="293"/>
      <c r="I5" s="293"/>
      <c r="J5" s="293"/>
      <c r="K5" s="294" t="s">
        <v>15</v>
      </c>
      <c r="L5" s="294"/>
      <c r="M5" s="294"/>
      <c r="N5" s="294"/>
      <c r="O5" s="294"/>
      <c r="P5" s="294"/>
      <c r="Q5" s="294"/>
      <c r="R5" s="294"/>
      <c r="S5" s="294"/>
      <c r="T5" s="294"/>
      <c r="U5" s="294"/>
      <c r="V5" s="294"/>
      <c r="W5" s="294"/>
      <c r="X5" s="294"/>
      <c r="Y5" s="294"/>
      <c r="Z5" s="294"/>
      <c r="AA5" s="294"/>
      <c r="AB5" s="294"/>
      <c r="AC5" s="294"/>
      <c r="AD5" s="294"/>
      <c r="AE5" s="294"/>
      <c r="AF5" s="92"/>
      <c r="AG5" s="92"/>
      <c r="AH5" s="92"/>
      <c r="AI5" s="92"/>
      <c r="AJ5" s="92"/>
      <c r="AK5" s="92"/>
      <c r="AL5" s="92"/>
      <c r="AM5" s="92"/>
      <c r="AN5" s="92"/>
      <c r="AO5" s="92"/>
      <c r="AP5" s="92"/>
      <c r="AQ5" s="92"/>
      <c r="AR5" s="46"/>
      <c r="AT5" s="491">
        <v>3</v>
      </c>
      <c r="AU5" s="521" t="str">
        <f>'AM 9 Team Pool - Rnd 1'!AU5</f>
        <v>Magnum Aiken 12 Green</v>
      </c>
      <c r="AV5" s="521" t="str">
        <f>'AM 9 Team Pool - Rnd 1'!AV5</f>
        <v>fj2magnm2pm</v>
      </c>
      <c r="AW5" s="522">
        <f>'AM 9 Team Pool - Rnd 2'!AX5</f>
        <v>1445.1361227091788</v>
      </c>
      <c r="AX5" s="493">
        <f t="shared" si="0"/>
        <v>1408.526724404192</v>
      </c>
      <c r="AY5" s="490">
        <f t="shared" si="1"/>
        <v>1408.526724404192</v>
      </c>
    </row>
    <row r="6" spans="1:53" ht="24" customHeight="1" thickBot="1">
      <c r="A6" s="96" t="s">
        <v>16</v>
      </c>
      <c r="B6" s="150" t="s">
        <v>247</v>
      </c>
      <c r="C6" s="274" t="s">
        <v>188</v>
      </c>
      <c r="D6" s="275"/>
      <c r="E6" s="275"/>
      <c r="F6" s="275"/>
      <c r="G6" s="275"/>
      <c r="H6" s="276"/>
      <c r="I6" s="277">
        <v>1</v>
      </c>
      <c r="J6" s="278"/>
      <c r="K6" s="279" t="str">
        <f>"Pool "&amp;B6&amp;" - Round 3 - Court "&amp;I6</f>
        <v>Pool A3 - Round 3 - Court 1</v>
      </c>
      <c r="L6" s="280"/>
      <c r="M6" s="280"/>
      <c r="N6" s="280"/>
      <c r="O6" s="280"/>
      <c r="P6" s="280"/>
      <c r="Q6" s="280"/>
      <c r="R6" s="280"/>
      <c r="S6" s="280"/>
      <c r="T6" s="280"/>
      <c r="U6" s="280"/>
      <c r="V6" s="280"/>
      <c r="W6" s="280"/>
      <c r="X6" s="280"/>
      <c r="Y6" s="280"/>
      <c r="Z6" s="280"/>
      <c r="AA6" s="280"/>
      <c r="AB6" s="280"/>
      <c r="AC6" s="280"/>
      <c r="AD6" s="280"/>
      <c r="AE6" s="280"/>
      <c r="AF6" s="280"/>
      <c r="AG6" s="280"/>
      <c r="AH6" s="280"/>
      <c r="AI6" s="281"/>
      <c r="AJ6" s="1"/>
      <c r="AK6" s="1"/>
      <c r="AL6" s="1"/>
      <c r="AM6" s="1"/>
      <c r="AN6" s="1"/>
      <c r="AO6" s="1"/>
      <c r="AP6" s="1"/>
      <c r="AQ6" s="1"/>
      <c r="AT6" s="491">
        <v>4</v>
      </c>
      <c r="AU6" s="521" t="str">
        <f>'AM 9 Team Pool - Rnd 1'!AU6</f>
        <v>Excell U12 Devel</v>
      </c>
      <c r="AV6" s="521" t="str">
        <f>'AM 9 Team Pool - Rnd 1'!AV6</f>
        <v>fj2191642pm</v>
      </c>
      <c r="AW6" s="522">
        <f>'AM 9 Team Pool - Rnd 2'!AX6</f>
        <v>1180.6127196485652</v>
      </c>
      <c r="AX6" s="493">
        <f t="shared" si="0"/>
        <v>1160.7781668554978</v>
      </c>
      <c r="AY6" s="490">
        <f t="shared" si="1"/>
        <v>1160.7781668554978</v>
      </c>
    </row>
    <row r="7" spans="1:53" ht="27" customHeight="1" thickBot="1">
      <c r="A7" s="97" t="s">
        <v>17</v>
      </c>
      <c r="B7" s="282" t="s">
        <v>5</v>
      </c>
      <c r="C7" s="295"/>
      <c r="D7" s="295"/>
      <c r="E7" s="295"/>
      <c r="F7" s="295"/>
      <c r="G7" s="295"/>
      <c r="H7" s="295"/>
      <c r="I7" s="295"/>
      <c r="J7" s="295"/>
      <c r="K7" s="295"/>
      <c r="L7" s="282" t="str">
        <f>IF($AK10=0,"Games Won","Matches Won")</f>
        <v>Games Won</v>
      </c>
      <c r="M7" s="295"/>
      <c r="N7" s="295"/>
      <c r="O7" s="295"/>
      <c r="P7" s="295"/>
      <c r="Q7" s="296"/>
      <c r="R7" s="282" t="str">
        <f>IF($AK10=0,"Games Lost","Matches Lost")</f>
        <v>Games Lost</v>
      </c>
      <c r="S7" s="299"/>
      <c r="T7" s="299"/>
      <c r="U7" s="299"/>
      <c r="V7" s="300"/>
      <c r="W7" s="301" t="s">
        <v>18</v>
      </c>
      <c r="X7" s="302"/>
      <c r="Y7" s="303"/>
      <c r="Z7" s="301" t="s">
        <v>189</v>
      </c>
      <c r="AA7" s="302"/>
      <c r="AB7" s="303"/>
      <c r="AC7" s="312" t="s">
        <v>19</v>
      </c>
      <c r="AD7" s="313"/>
      <c r="AE7" s="314"/>
      <c r="AF7" s="98" t="s">
        <v>20</v>
      </c>
      <c r="AG7" s="151" t="s">
        <v>4</v>
      </c>
      <c r="AH7" s="315" t="s">
        <v>21</v>
      </c>
      <c r="AI7" s="316"/>
      <c r="AJ7" s="99"/>
      <c r="AK7" s="100">
        <v>2</v>
      </c>
      <c r="AL7" s="101" t="s">
        <v>22</v>
      </c>
      <c r="AM7" s="101"/>
      <c r="AN7" s="101"/>
      <c r="AO7" s="101"/>
      <c r="AP7" s="101"/>
      <c r="AQ7" s="101"/>
      <c r="AR7" s="102"/>
      <c r="AT7" s="491">
        <v>5</v>
      </c>
      <c r="AU7" s="521" t="str">
        <f>'AM 9 Team Pool - Rnd 1'!AU7</f>
        <v>SC Midlands KP White</v>
      </c>
      <c r="AV7" s="521" t="str">
        <f>'AM 9 Team Pool - Rnd 1'!AV7</f>
        <v>fj2scmid2pm</v>
      </c>
      <c r="AW7" s="522">
        <f>'AM 9 Team Pool - Rnd 2'!AX7</f>
        <v>1162.1331471608514</v>
      </c>
      <c r="AX7" s="493">
        <f t="shared" si="0"/>
        <v>1186.8787697632317</v>
      </c>
      <c r="AY7" s="490">
        <f t="shared" si="1"/>
        <v>1186.8787697632317</v>
      </c>
    </row>
    <row r="8" spans="1:53" ht="18.75" customHeight="1" thickBot="1">
      <c r="A8" s="317" t="str">
        <f>IF($AK9&gt;0,"1","")</f>
        <v>1</v>
      </c>
      <c r="B8" s="319" t="s">
        <v>5</v>
      </c>
      <c r="C8" s="320"/>
      <c r="D8" s="321"/>
      <c r="E8" s="322" t="str">
        <f>'AM 9 Team Pool - Rnd 2'!B264</f>
        <v>Intense Kids power Gvl</v>
      </c>
      <c r="F8" s="323"/>
      <c r="G8" s="323"/>
      <c r="H8" s="323"/>
      <c r="I8" s="323"/>
      <c r="J8" s="323"/>
      <c r="K8" s="324"/>
      <c r="L8" s="304">
        <f>IF($AK10=0,AF64,AF46)</f>
        <v>2</v>
      </c>
      <c r="M8" s="305"/>
      <c r="N8" s="305"/>
      <c r="O8" s="305"/>
      <c r="P8" s="305"/>
      <c r="Q8" s="297"/>
      <c r="R8" s="304">
        <f>IF($AK10=0,AG64,AG46)</f>
        <v>2</v>
      </c>
      <c r="S8" s="305"/>
      <c r="T8" s="305"/>
      <c r="U8" s="305"/>
      <c r="V8" s="305"/>
      <c r="W8" s="304">
        <f>AQ24</f>
        <v>-10</v>
      </c>
      <c r="X8" s="305"/>
      <c r="Y8" s="305"/>
      <c r="Z8" s="308">
        <f>IF(AF58&gt;0,(AQ24/AF58),0)</f>
        <v>-0.10869565217391304</v>
      </c>
      <c r="AA8" s="309"/>
      <c r="AB8" s="309"/>
      <c r="AC8" s="325">
        <f>IF(AF72=0,0,(AF64/AF72))</f>
        <v>0.5</v>
      </c>
      <c r="AD8" s="326"/>
      <c r="AE8" s="327"/>
      <c r="AF8" s="331">
        <v>2</v>
      </c>
      <c r="AG8" s="331">
        <v>1</v>
      </c>
      <c r="AH8" s="333">
        <v>2</v>
      </c>
      <c r="AI8" s="334"/>
      <c r="AJ8" s="99"/>
      <c r="AK8" s="100">
        <v>3</v>
      </c>
      <c r="AL8" s="101" t="s">
        <v>23</v>
      </c>
      <c r="AM8" s="101"/>
      <c r="AN8" s="101"/>
      <c r="AO8" s="101"/>
      <c r="AP8" s="101"/>
      <c r="AQ8" s="101"/>
      <c r="AR8" s="102"/>
      <c r="AT8" s="491">
        <v>6</v>
      </c>
      <c r="AU8" s="521" t="str">
        <f>'AM 9 Team Pool - Rnd 1'!AU8</f>
        <v>SC Midlands KP Boys</v>
      </c>
      <c r="AV8" s="521" t="str">
        <f>'AM 9 Team Pool - Rnd 1'!AV8</f>
        <v>fj2scmid3pm</v>
      </c>
      <c r="AW8" s="522">
        <f>'AM 9 Team Pool - Rnd 2'!AX8</f>
        <v>1263.649221203714</v>
      </c>
      <c r="AX8" s="493">
        <f t="shared" si="0"/>
        <v>1264.5083262633123</v>
      </c>
      <c r="AY8" s="490">
        <f t="shared" si="1"/>
        <v>1264.5083262633123</v>
      </c>
    </row>
    <row r="9" spans="1:53" ht="18.75" customHeight="1" thickBot="1">
      <c r="A9" s="318"/>
      <c r="B9" s="337" t="s">
        <v>6</v>
      </c>
      <c r="C9" s="338"/>
      <c r="D9" s="339"/>
      <c r="E9" s="340" t="str">
        <f>'AM 9 Team Pool - Rnd 2'!F264</f>
        <v>fj2inten2pm</v>
      </c>
      <c r="F9" s="341"/>
      <c r="G9" s="341"/>
      <c r="H9" s="341"/>
      <c r="I9" s="341"/>
      <c r="J9" s="341"/>
      <c r="K9" s="341"/>
      <c r="L9" s="306"/>
      <c r="M9" s="307"/>
      <c r="N9" s="307"/>
      <c r="O9" s="307"/>
      <c r="P9" s="307"/>
      <c r="Q9" s="297"/>
      <c r="R9" s="306"/>
      <c r="S9" s="307"/>
      <c r="T9" s="307"/>
      <c r="U9" s="307"/>
      <c r="V9" s="307"/>
      <c r="W9" s="306"/>
      <c r="X9" s="307"/>
      <c r="Y9" s="307"/>
      <c r="Z9" s="310"/>
      <c r="AA9" s="311"/>
      <c r="AB9" s="311"/>
      <c r="AC9" s="328"/>
      <c r="AD9" s="329"/>
      <c r="AE9" s="330"/>
      <c r="AF9" s="332"/>
      <c r="AG9" s="332"/>
      <c r="AH9" s="335"/>
      <c r="AI9" s="336"/>
      <c r="AJ9" s="99"/>
      <c r="AK9" s="100">
        <v>3</v>
      </c>
      <c r="AL9" s="101" t="s">
        <v>190</v>
      </c>
      <c r="AM9" s="99"/>
      <c r="AN9" s="99"/>
      <c r="AO9" s="99"/>
      <c r="AP9" s="99"/>
      <c r="AQ9" s="99"/>
      <c r="AR9" s="46"/>
      <c r="AT9" s="491">
        <v>7</v>
      </c>
      <c r="AU9" s="521" t="str">
        <f>'AM 9 Team Pool - Rnd 1'!AU9</f>
        <v>USA 12 Blue</v>
      </c>
      <c r="AV9" s="521" t="str">
        <f>'AM 9 Team Pool - Rnd 1'!AV9</f>
        <v>fj2unsel1cr</v>
      </c>
      <c r="AW9" s="522">
        <f>'AM 9 Team Pool - Rnd 2'!AX9</f>
        <v>1371.375662705266</v>
      </c>
      <c r="AX9" s="493">
        <f t="shared" si="0"/>
        <v>1390.3511104387351</v>
      </c>
      <c r="AY9" s="490">
        <f t="shared" si="1"/>
        <v>1390.3511104387351</v>
      </c>
    </row>
    <row r="10" spans="1:53" ht="18.75" customHeight="1" thickBot="1">
      <c r="A10" s="317" t="str">
        <f>IF($AK9&gt;1,"2","")</f>
        <v>2</v>
      </c>
      <c r="B10" s="319" t="s">
        <v>5</v>
      </c>
      <c r="C10" s="320"/>
      <c r="D10" s="321"/>
      <c r="E10" s="322" t="str">
        <f>'AM 9 Team Pool - Rnd 2'!B265</f>
        <v>Magnum 12 Black</v>
      </c>
      <c r="F10" s="323"/>
      <c r="G10" s="323"/>
      <c r="H10" s="323"/>
      <c r="I10" s="323"/>
      <c r="J10" s="323"/>
      <c r="K10" s="324"/>
      <c r="L10" s="304">
        <f>IF($AK10=0,AF65,AF47)</f>
        <v>4</v>
      </c>
      <c r="M10" s="305"/>
      <c r="N10" s="305"/>
      <c r="O10" s="305"/>
      <c r="P10" s="305"/>
      <c r="Q10" s="297"/>
      <c r="R10" s="304">
        <f>IF($AK10=0,AG65,AG47)</f>
        <v>0</v>
      </c>
      <c r="S10" s="305"/>
      <c r="T10" s="305"/>
      <c r="U10" s="305"/>
      <c r="V10" s="305"/>
      <c r="W10" s="304">
        <f>AQ25</f>
        <v>54</v>
      </c>
      <c r="X10" s="305"/>
      <c r="Y10" s="305"/>
      <c r="Z10" s="308">
        <f>IF(AF59&gt;0,(AQ25/AF59),0)</f>
        <v>0.58695652173913049</v>
      </c>
      <c r="AA10" s="309"/>
      <c r="AB10" s="309"/>
      <c r="AC10" s="325">
        <f>IF(AF73=0,0,(AF65/AF73))</f>
        <v>1</v>
      </c>
      <c r="AD10" s="326"/>
      <c r="AE10" s="327"/>
      <c r="AF10" s="331">
        <v>1</v>
      </c>
      <c r="AG10" s="331">
        <v>1</v>
      </c>
      <c r="AH10" s="333">
        <v>1</v>
      </c>
      <c r="AI10" s="334"/>
      <c r="AJ10" s="99"/>
      <c r="AK10" s="100">
        <v>0</v>
      </c>
      <c r="AL10" s="101" t="s">
        <v>24</v>
      </c>
      <c r="AM10" s="101"/>
      <c r="AN10" s="101"/>
      <c r="AO10" s="101"/>
      <c r="AP10" s="101"/>
      <c r="AQ10" s="101"/>
      <c r="AR10" s="102"/>
      <c r="AT10" s="491">
        <v>8</v>
      </c>
      <c r="AU10" s="521" t="str">
        <f>'AM 9 Team Pool - Rnd 1'!AU10</f>
        <v>Magnum 12 Red</v>
      </c>
      <c r="AV10" s="521" t="str">
        <f>'AM 9 Team Pool - Rnd 1'!AV10</f>
        <v>fj2magnm3pm</v>
      </c>
      <c r="AW10" s="522">
        <f>'AM 9 Team Pool - Rnd 2'!AX10</f>
        <v>1342.9240357109743</v>
      </c>
      <c r="AX10" s="493">
        <f t="shared" si="0"/>
        <v>1327.9539694536377</v>
      </c>
      <c r="AY10" s="490">
        <f t="shared" si="1"/>
        <v>1327.9539694536377</v>
      </c>
    </row>
    <row r="11" spans="1:53" ht="18.75" customHeight="1" thickBot="1">
      <c r="A11" s="318"/>
      <c r="B11" s="342" t="s">
        <v>6</v>
      </c>
      <c r="C11" s="343"/>
      <c r="D11" s="343"/>
      <c r="E11" s="340" t="str">
        <f>'AM 9 Team Pool - Rnd 2'!F265</f>
        <v>fj2magnm1pm</v>
      </c>
      <c r="F11" s="341"/>
      <c r="G11" s="341"/>
      <c r="H11" s="341"/>
      <c r="I11" s="341"/>
      <c r="J11" s="341"/>
      <c r="K11" s="341"/>
      <c r="L11" s="306"/>
      <c r="M11" s="307"/>
      <c r="N11" s="307"/>
      <c r="O11" s="307"/>
      <c r="P11" s="307"/>
      <c r="Q11" s="297"/>
      <c r="R11" s="306"/>
      <c r="S11" s="307"/>
      <c r="T11" s="307"/>
      <c r="U11" s="307"/>
      <c r="V11" s="307"/>
      <c r="W11" s="306"/>
      <c r="X11" s="307"/>
      <c r="Y11" s="307"/>
      <c r="Z11" s="310"/>
      <c r="AA11" s="311"/>
      <c r="AB11" s="311"/>
      <c r="AC11" s="328"/>
      <c r="AD11" s="329"/>
      <c r="AE11" s="330"/>
      <c r="AF11" s="332"/>
      <c r="AG11" s="332"/>
      <c r="AH11" s="335"/>
      <c r="AI11" s="336"/>
      <c r="AJ11" s="99"/>
      <c r="AK11" s="100">
        <v>1</v>
      </c>
      <c r="AL11" s="101" t="s">
        <v>25</v>
      </c>
      <c r="AM11" s="99"/>
      <c r="AN11" s="99"/>
      <c r="AO11" s="99"/>
      <c r="AP11" s="99"/>
      <c r="AQ11" s="99"/>
      <c r="AR11" s="46"/>
      <c r="AT11" s="491">
        <v>9</v>
      </c>
      <c r="AU11" s="521" t="str">
        <f>'AM 9 Team Pool - Rnd 1'!AU11</f>
        <v>Intense Kids power Gvl</v>
      </c>
      <c r="AV11" s="521" t="str">
        <f>'AM 9 Team Pool - Rnd 1'!AV11</f>
        <v>fj2inten2pm</v>
      </c>
      <c r="AW11" s="522">
        <f>'AM 9 Team Pool - Rnd 2'!AX11</f>
        <v>1212.4987749778513</v>
      </c>
      <c r="AX11" s="493">
        <f t="shared" si="0"/>
        <v>1233.4527459403562</v>
      </c>
      <c r="AY11" s="490">
        <f t="shared" si="1"/>
        <v>1233.4527459403562</v>
      </c>
    </row>
    <row r="12" spans="1:53" ht="18.75" customHeight="1" thickBot="1">
      <c r="A12" s="317" t="str">
        <f>IF($AK9&gt;2,"3","")</f>
        <v>3</v>
      </c>
      <c r="B12" s="344" t="s">
        <v>5</v>
      </c>
      <c r="C12" s="345"/>
      <c r="D12" s="345"/>
      <c r="E12" s="322" t="str">
        <f>'AM 9 Team Pool - Rnd 2'!B266</f>
        <v>Magnum Aiken 12 Green</v>
      </c>
      <c r="F12" s="323"/>
      <c r="G12" s="323"/>
      <c r="H12" s="323"/>
      <c r="I12" s="323"/>
      <c r="J12" s="323"/>
      <c r="K12" s="324"/>
      <c r="L12" s="304">
        <f>IF($AK10=0,AF66,AF48)</f>
        <v>0</v>
      </c>
      <c r="M12" s="305"/>
      <c r="N12" s="305"/>
      <c r="O12" s="305"/>
      <c r="P12" s="305"/>
      <c r="Q12" s="297"/>
      <c r="R12" s="304">
        <f>IF($AK10=0,AG66,AG48)</f>
        <v>4</v>
      </c>
      <c r="S12" s="305"/>
      <c r="T12" s="305"/>
      <c r="U12" s="305"/>
      <c r="V12" s="305"/>
      <c r="W12" s="304">
        <f>AQ26</f>
        <v>-44</v>
      </c>
      <c r="X12" s="305"/>
      <c r="Y12" s="305"/>
      <c r="Z12" s="308">
        <f>IF(AF60&gt;0,(AQ26/AF60),0)</f>
        <v>-0.5</v>
      </c>
      <c r="AA12" s="309"/>
      <c r="AB12" s="309"/>
      <c r="AC12" s="325">
        <f>IF(AF74=0,0,(AF66/AF74))</f>
        <v>0</v>
      </c>
      <c r="AD12" s="326"/>
      <c r="AE12" s="327"/>
      <c r="AF12" s="331">
        <v>3</v>
      </c>
      <c r="AG12" s="331">
        <v>1</v>
      </c>
      <c r="AH12" s="333">
        <v>3</v>
      </c>
      <c r="AI12" s="334"/>
      <c r="AJ12" s="103"/>
      <c r="AK12" s="100">
        <v>4</v>
      </c>
      <c r="AL12" s="152" t="s">
        <v>191</v>
      </c>
      <c r="AM12" s="101"/>
      <c r="AN12" s="101"/>
      <c r="AO12" s="101"/>
      <c r="AP12" s="101"/>
      <c r="AQ12" s="101"/>
      <c r="AR12" s="102"/>
      <c r="AT12" s="491">
        <v>10</v>
      </c>
      <c r="AU12" s="521" t="str">
        <f>'AM 9 Team Pool - Rnd 1'!AU12</f>
        <v>Team 10</v>
      </c>
      <c r="AV12" s="521" t="str">
        <f>'AM 9 Team Pool - Rnd 1'!AV12</f>
        <v>Code 10</v>
      </c>
      <c r="AW12" s="522">
        <f>'AM 9 Team Pool - Rnd 2'!AX12</f>
        <v>2010</v>
      </c>
      <c r="AX12" s="493">
        <f t="shared" si="0"/>
        <v>2010</v>
      </c>
      <c r="AY12" s="490">
        <f t="shared" si="1"/>
        <v>2010</v>
      </c>
    </row>
    <row r="13" spans="1:53" ht="18.75" customHeight="1" thickBot="1">
      <c r="A13" s="318"/>
      <c r="B13" s="342" t="s">
        <v>6</v>
      </c>
      <c r="C13" s="343"/>
      <c r="D13" s="343"/>
      <c r="E13" s="340" t="str">
        <f>'AM 9 Team Pool - Rnd 2'!F266</f>
        <v>fj2magnm2pm</v>
      </c>
      <c r="F13" s="341"/>
      <c r="G13" s="341"/>
      <c r="H13" s="341"/>
      <c r="I13" s="341"/>
      <c r="J13" s="341"/>
      <c r="K13" s="341"/>
      <c r="L13" s="306"/>
      <c r="M13" s="307"/>
      <c r="N13" s="307"/>
      <c r="O13" s="307"/>
      <c r="P13" s="307"/>
      <c r="Q13" s="297"/>
      <c r="R13" s="306"/>
      <c r="S13" s="307"/>
      <c r="T13" s="307"/>
      <c r="U13" s="307"/>
      <c r="V13" s="307"/>
      <c r="W13" s="306"/>
      <c r="X13" s="307"/>
      <c r="Y13" s="307"/>
      <c r="Z13" s="310"/>
      <c r="AA13" s="311"/>
      <c r="AB13" s="311"/>
      <c r="AC13" s="328"/>
      <c r="AD13" s="329"/>
      <c r="AE13" s="330"/>
      <c r="AF13" s="332"/>
      <c r="AG13" s="332"/>
      <c r="AH13" s="335"/>
      <c r="AI13" s="336"/>
      <c r="AJ13" s="103"/>
      <c r="AK13" s="153"/>
      <c r="AL13" s="154"/>
      <c r="AM13" s="154"/>
      <c r="AN13" s="154"/>
      <c r="AO13" s="154"/>
      <c r="AP13" s="154"/>
      <c r="AQ13" s="99"/>
      <c r="AR13" s="46"/>
      <c r="AT13" s="491">
        <v>11</v>
      </c>
      <c r="AU13" s="521" t="str">
        <f>'AM 9 Team Pool - Rnd 1'!AU13</f>
        <v>Team 11</v>
      </c>
      <c r="AV13" s="521" t="str">
        <f>'AM 9 Team Pool - Rnd 1'!AV13</f>
        <v>Code 11</v>
      </c>
      <c r="AW13" s="522">
        <f>'AM 9 Team Pool - Rnd 2'!AX13</f>
        <v>2011</v>
      </c>
      <c r="AX13" s="493">
        <f t="shared" si="0"/>
        <v>2011</v>
      </c>
      <c r="AY13" s="490">
        <f t="shared" si="1"/>
        <v>2011</v>
      </c>
    </row>
    <row r="14" spans="1:53" ht="18.75" hidden="1" customHeight="1">
      <c r="A14" s="317" t="str">
        <f>IF($AK9&gt;3,"4","")</f>
        <v/>
      </c>
      <c r="B14" s="344" t="s">
        <v>5</v>
      </c>
      <c r="C14" s="345"/>
      <c r="D14" s="345"/>
      <c r="E14" s="322" t="str">
        <f>AU14</f>
        <v>Team 12</v>
      </c>
      <c r="F14" s="323"/>
      <c r="G14" s="323"/>
      <c r="H14" s="323"/>
      <c r="I14" s="323"/>
      <c r="J14" s="323"/>
      <c r="K14" s="324"/>
      <c r="L14" s="304">
        <f>IF($AK10=0,AF67,AF49)</f>
        <v>0</v>
      </c>
      <c r="M14" s="305"/>
      <c r="N14" s="305"/>
      <c r="O14" s="305"/>
      <c r="P14" s="305"/>
      <c r="Q14" s="297"/>
      <c r="R14" s="304">
        <f>IF($AK10=0,AG67,AG49)</f>
        <v>0</v>
      </c>
      <c r="S14" s="305"/>
      <c r="T14" s="305"/>
      <c r="U14" s="305"/>
      <c r="V14" s="305"/>
      <c r="W14" s="304">
        <f>AQ27</f>
        <v>0</v>
      </c>
      <c r="X14" s="305"/>
      <c r="Y14" s="305"/>
      <c r="Z14" s="308">
        <f>IF(AF61&gt;0,(AQ27/AF61),0)</f>
        <v>0</v>
      </c>
      <c r="AA14" s="309"/>
      <c r="AB14" s="309"/>
      <c r="AC14" s="325">
        <f>IF(AF75=0,0,(AF67/AF75))</f>
        <v>0</v>
      </c>
      <c r="AD14" s="326"/>
      <c r="AE14" s="327"/>
      <c r="AF14" s="331"/>
      <c r="AG14" s="331"/>
      <c r="AH14" s="333"/>
      <c r="AI14" s="334"/>
      <c r="AJ14" s="1"/>
      <c r="AK14" s="154"/>
      <c r="AL14" s="154"/>
      <c r="AM14" s="154"/>
      <c r="AN14" s="154"/>
      <c r="AO14" s="154"/>
      <c r="AP14" s="154"/>
      <c r="AQ14" s="101"/>
      <c r="AR14" s="102"/>
      <c r="AT14" s="491">
        <v>12</v>
      </c>
      <c r="AU14" s="495" t="s">
        <v>196</v>
      </c>
      <c r="AV14" s="496" t="s">
        <v>197</v>
      </c>
      <c r="AW14" s="492">
        <v>2012</v>
      </c>
      <c r="AX14" s="493">
        <f t="shared" si="0"/>
        <v>2012</v>
      </c>
      <c r="AY14" s="494" t="e">
        <f>IF(ISNA(VLOOKUP(AU14,#REF!,2,FALSE)),AX14,VLOOKUP(AU14,#REF!,2,FALSE))</f>
        <v>#REF!</v>
      </c>
    </row>
    <row r="15" spans="1:53" ht="18.75" hidden="1" customHeight="1" thickBot="1">
      <c r="A15" s="318"/>
      <c r="B15" s="342" t="s">
        <v>6</v>
      </c>
      <c r="C15" s="343"/>
      <c r="D15" s="343"/>
      <c r="E15" s="340" t="str">
        <f>AV14</f>
        <v>Code 12</v>
      </c>
      <c r="F15" s="341"/>
      <c r="G15" s="341"/>
      <c r="H15" s="341"/>
      <c r="I15" s="341"/>
      <c r="J15" s="341"/>
      <c r="K15" s="341"/>
      <c r="L15" s="306"/>
      <c r="M15" s="307"/>
      <c r="N15" s="307"/>
      <c r="O15" s="307"/>
      <c r="P15" s="307"/>
      <c r="Q15" s="297"/>
      <c r="R15" s="306"/>
      <c r="S15" s="307"/>
      <c r="T15" s="307"/>
      <c r="U15" s="307"/>
      <c r="V15" s="307"/>
      <c r="W15" s="306"/>
      <c r="X15" s="307"/>
      <c r="Y15" s="307"/>
      <c r="Z15" s="310"/>
      <c r="AA15" s="311"/>
      <c r="AB15" s="311"/>
      <c r="AC15" s="328"/>
      <c r="AD15" s="329"/>
      <c r="AE15" s="330"/>
      <c r="AF15" s="332"/>
      <c r="AG15" s="332"/>
      <c r="AH15" s="335"/>
      <c r="AI15" s="336"/>
      <c r="AJ15" s="1"/>
      <c r="AK15" s="154"/>
      <c r="AL15" s="154"/>
      <c r="AM15" s="154"/>
      <c r="AN15" s="154"/>
      <c r="AO15" s="154"/>
      <c r="AP15" s="154"/>
      <c r="AQ15" s="1"/>
      <c r="AR15" s="46"/>
      <c r="AT15" s="491"/>
      <c r="AU15" s="495"/>
      <c r="AV15" s="496"/>
      <c r="AW15" s="492"/>
      <c r="AX15" s="493"/>
      <c r="AY15" s="494"/>
    </row>
    <row r="16" spans="1:53" ht="18.75" hidden="1" customHeight="1">
      <c r="A16" s="317" t="str">
        <f>IF($AK9&gt;4,"5","")</f>
        <v/>
      </c>
      <c r="B16" s="344" t="s">
        <v>5</v>
      </c>
      <c r="C16" s="345"/>
      <c r="D16" s="345"/>
      <c r="E16" s="346">
        <f>AU15</f>
        <v>0</v>
      </c>
      <c r="F16" s="347"/>
      <c r="G16" s="347"/>
      <c r="H16" s="347"/>
      <c r="I16" s="347"/>
      <c r="J16" s="347"/>
      <c r="K16" s="348"/>
      <c r="L16" s="304">
        <f>IF($AK10=0,AF68,AF50)</f>
        <v>0</v>
      </c>
      <c r="M16" s="305"/>
      <c r="N16" s="305"/>
      <c r="O16" s="305"/>
      <c r="P16" s="305"/>
      <c r="Q16" s="297"/>
      <c r="R16" s="304">
        <f>IF($AK10=0,AG68,AG50)</f>
        <v>0</v>
      </c>
      <c r="S16" s="305"/>
      <c r="T16" s="305"/>
      <c r="U16" s="305"/>
      <c r="V16" s="305"/>
      <c r="W16" s="304">
        <f>AQ28</f>
        <v>0</v>
      </c>
      <c r="X16" s="305"/>
      <c r="Y16" s="305"/>
      <c r="Z16" s="308">
        <f>IF(AF62&gt;0,(AQ28/AF62),0)</f>
        <v>0</v>
      </c>
      <c r="AA16" s="309"/>
      <c r="AB16" s="309"/>
      <c r="AC16" s="325">
        <f>IF(AF76=0,0,(AF68/AF76))</f>
        <v>0</v>
      </c>
      <c r="AD16" s="326"/>
      <c r="AE16" s="327"/>
      <c r="AF16" s="331"/>
      <c r="AG16" s="331"/>
      <c r="AH16" s="333"/>
      <c r="AI16" s="334"/>
      <c r="AJ16" s="1"/>
      <c r="AK16" s="154"/>
      <c r="AL16" s="154"/>
      <c r="AM16" s="154"/>
      <c r="AN16" s="154"/>
      <c r="AO16" s="154"/>
      <c r="AP16" s="154"/>
      <c r="AQ16" s="1"/>
      <c r="AR16" s="46"/>
      <c r="AT16" s="491"/>
      <c r="AU16" s="495"/>
      <c r="AV16" s="492"/>
      <c r="AW16" s="492"/>
      <c r="AX16" s="493"/>
      <c r="AY16" s="494"/>
    </row>
    <row r="17" spans="1:51" ht="18.75" hidden="1" customHeight="1" thickBot="1">
      <c r="A17" s="318"/>
      <c r="B17" s="359" t="s">
        <v>6</v>
      </c>
      <c r="C17" s="360"/>
      <c r="D17" s="360"/>
      <c r="E17" s="361">
        <f>AV15</f>
        <v>0</v>
      </c>
      <c r="F17" s="362"/>
      <c r="G17" s="362"/>
      <c r="H17" s="362"/>
      <c r="I17" s="362"/>
      <c r="J17" s="362"/>
      <c r="K17" s="362"/>
      <c r="L17" s="349"/>
      <c r="M17" s="350"/>
      <c r="N17" s="350"/>
      <c r="O17" s="350"/>
      <c r="P17" s="350"/>
      <c r="Q17" s="298"/>
      <c r="R17" s="349"/>
      <c r="S17" s="350"/>
      <c r="T17" s="350"/>
      <c r="U17" s="350"/>
      <c r="V17" s="350"/>
      <c r="W17" s="349"/>
      <c r="X17" s="350"/>
      <c r="Y17" s="350"/>
      <c r="Z17" s="351"/>
      <c r="AA17" s="352"/>
      <c r="AB17" s="352"/>
      <c r="AC17" s="353"/>
      <c r="AD17" s="354"/>
      <c r="AE17" s="355"/>
      <c r="AF17" s="356"/>
      <c r="AG17" s="356"/>
      <c r="AH17" s="357"/>
      <c r="AI17" s="358"/>
      <c r="AJ17" s="1"/>
      <c r="AK17" s="154"/>
      <c r="AL17" s="154"/>
      <c r="AM17" s="154"/>
      <c r="AN17" s="154"/>
      <c r="AO17" s="154"/>
      <c r="AP17" s="154"/>
      <c r="AQ17" s="1"/>
      <c r="AR17" s="46"/>
      <c r="AT17" s="497"/>
      <c r="AU17" s="498"/>
      <c r="AV17" s="499"/>
      <c r="AW17" s="499"/>
      <c r="AX17" s="500"/>
      <c r="AY17" s="501"/>
    </row>
    <row r="18" spans="1:51" ht="21" customHeight="1" thickTop="1" thickBot="1">
      <c r="A18" s="106"/>
      <c r="B18" s="363" t="s">
        <v>198</v>
      </c>
      <c r="C18" s="364"/>
      <c r="D18" s="364"/>
      <c r="E18" s="364"/>
      <c r="F18" s="364"/>
      <c r="G18" s="364"/>
      <c r="H18" s="364"/>
      <c r="I18" s="364"/>
      <c r="J18" s="364"/>
      <c r="K18" s="364"/>
      <c r="L18" s="364"/>
      <c r="M18" s="364"/>
      <c r="N18" s="364"/>
      <c r="O18" s="364"/>
      <c r="P18" s="364"/>
      <c r="Q18" s="364"/>
      <c r="R18" s="364"/>
      <c r="S18" s="364"/>
      <c r="T18" s="364"/>
      <c r="U18" s="364"/>
      <c r="V18" s="364"/>
      <c r="W18" s="364"/>
      <c r="X18" s="364"/>
      <c r="Y18" s="364"/>
      <c r="Z18" s="364"/>
      <c r="AA18" s="364"/>
      <c r="AB18" s="364"/>
      <c r="AC18" s="364"/>
      <c r="AD18" s="364"/>
      <c r="AE18" s="364"/>
      <c r="AF18" s="364"/>
      <c r="AG18" s="364"/>
      <c r="AH18" s="364"/>
      <c r="AI18" s="365"/>
      <c r="AJ18" s="1"/>
      <c r="AK18" s="154"/>
      <c r="AL18" s="154"/>
      <c r="AM18" s="154"/>
      <c r="AN18" s="154"/>
      <c r="AO18" s="154"/>
      <c r="AP18" s="154"/>
      <c r="AQ18" s="1"/>
      <c r="AR18" s="46"/>
      <c r="AT18" s="502" t="s">
        <v>26</v>
      </c>
      <c r="AU18" s="503"/>
      <c r="AV18" s="503"/>
      <c r="AW18" s="503"/>
      <c r="AX18" s="503"/>
      <c r="AY18" s="504"/>
    </row>
    <row r="19" spans="1:51" ht="14.25" thickTop="1" thickBot="1">
      <c r="A19" s="3" t="s">
        <v>27</v>
      </c>
      <c r="B19" s="372">
        <v>0.47916666666666669</v>
      </c>
      <c r="C19" s="373"/>
      <c r="D19" s="374"/>
      <c r="E19" s="372">
        <v>0.5</v>
      </c>
      <c r="F19" s="373"/>
      <c r="G19" s="374"/>
      <c r="H19" s="372">
        <v>0.52083333333333337</v>
      </c>
      <c r="I19" s="373"/>
      <c r="J19" s="374"/>
      <c r="K19" s="372">
        <v>0.47916666666666669</v>
      </c>
      <c r="L19" s="373"/>
      <c r="M19" s="374"/>
      <c r="N19" s="372">
        <v>0.52083333333333337</v>
      </c>
      <c r="O19" s="373"/>
      <c r="P19" s="374"/>
      <c r="Q19" s="372">
        <v>6.25E-2</v>
      </c>
      <c r="R19" s="373"/>
      <c r="S19" s="374"/>
      <c r="T19" s="372"/>
      <c r="U19" s="373"/>
      <c r="V19" s="374"/>
      <c r="W19" s="372"/>
      <c r="X19" s="373"/>
      <c r="Y19" s="374"/>
      <c r="Z19" s="372"/>
      <c r="AA19" s="373"/>
      <c r="AB19" s="374"/>
      <c r="AC19" s="372"/>
      <c r="AD19" s="373"/>
      <c r="AE19" s="374"/>
      <c r="AF19" s="375" t="s">
        <v>199</v>
      </c>
      <c r="AG19" s="376"/>
      <c r="AH19" s="376"/>
      <c r="AI19" s="376"/>
      <c r="AJ19" s="377"/>
      <c r="AK19" s="377"/>
      <c r="AL19" s="377"/>
      <c r="AM19" s="377"/>
      <c r="AN19" s="377"/>
      <c r="AO19" s="377"/>
      <c r="AP19" s="377"/>
      <c r="AQ19" s="378"/>
      <c r="AT19" s="505"/>
      <c r="AU19" s="506"/>
      <c r="AV19" s="506"/>
      <c r="AW19" s="506"/>
      <c r="AX19" s="506"/>
      <c r="AY19" s="507"/>
    </row>
    <row r="20" spans="1:51">
      <c r="A20" s="107" t="s">
        <v>28</v>
      </c>
      <c r="B20" s="383"/>
      <c r="C20" s="384"/>
      <c r="D20" s="385"/>
      <c r="E20" s="383"/>
      <c r="F20" s="384"/>
      <c r="G20" s="385"/>
      <c r="H20" s="383"/>
      <c r="I20" s="384"/>
      <c r="J20" s="385"/>
      <c r="K20" s="383"/>
      <c r="L20" s="384"/>
      <c r="M20" s="385"/>
      <c r="N20" s="383"/>
      <c r="O20" s="384"/>
      <c r="P20" s="385"/>
      <c r="Q20" s="383"/>
      <c r="R20" s="384"/>
      <c r="S20" s="385"/>
      <c r="T20" s="383"/>
      <c r="U20" s="384"/>
      <c r="V20" s="385"/>
      <c r="W20" s="383"/>
      <c r="X20" s="384"/>
      <c r="Y20" s="385"/>
      <c r="Z20" s="383"/>
      <c r="AA20" s="384"/>
      <c r="AB20" s="385"/>
      <c r="AC20" s="383"/>
      <c r="AD20" s="384"/>
      <c r="AE20" s="385"/>
      <c r="AF20" s="375"/>
      <c r="AG20" s="376"/>
      <c r="AH20" s="376"/>
      <c r="AI20" s="376"/>
      <c r="AJ20" s="376"/>
      <c r="AK20" s="376"/>
      <c r="AL20" s="376"/>
      <c r="AM20" s="376"/>
      <c r="AN20" s="376"/>
      <c r="AO20" s="376"/>
      <c r="AP20" s="376"/>
      <c r="AQ20" s="379"/>
      <c r="AW20" s="508"/>
    </row>
    <row r="21" spans="1:51">
      <c r="A21" s="107" t="s">
        <v>29</v>
      </c>
      <c r="B21" s="383"/>
      <c r="C21" s="384"/>
      <c r="D21" s="385"/>
      <c r="E21" s="383"/>
      <c r="F21" s="384"/>
      <c r="G21" s="385"/>
      <c r="H21" s="383"/>
      <c r="I21" s="384"/>
      <c r="J21" s="385"/>
      <c r="K21" s="383"/>
      <c r="L21" s="384"/>
      <c r="M21" s="385"/>
      <c r="N21" s="383"/>
      <c r="O21" s="384"/>
      <c r="P21" s="385"/>
      <c r="Q21" s="383"/>
      <c r="R21" s="384"/>
      <c r="S21" s="385"/>
      <c r="T21" s="383"/>
      <c r="U21" s="384"/>
      <c r="V21" s="385"/>
      <c r="W21" s="383"/>
      <c r="X21" s="384"/>
      <c r="Y21" s="385"/>
      <c r="Z21" s="383"/>
      <c r="AA21" s="384"/>
      <c r="AB21" s="385"/>
      <c r="AC21" s="383"/>
      <c r="AD21" s="384"/>
      <c r="AE21" s="385"/>
      <c r="AF21" s="375"/>
      <c r="AG21" s="376"/>
      <c r="AH21" s="376"/>
      <c r="AI21" s="376"/>
      <c r="AJ21" s="376"/>
      <c r="AK21" s="376"/>
      <c r="AL21" s="376"/>
      <c r="AM21" s="376"/>
      <c r="AN21" s="376"/>
      <c r="AO21" s="376"/>
      <c r="AP21" s="376"/>
      <c r="AQ21" s="379"/>
      <c r="AS21" s="132"/>
      <c r="AT21" s="509"/>
      <c r="AU21" s="509"/>
      <c r="AV21" s="509"/>
      <c r="AW21" s="508"/>
    </row>
    <row r="22" spans="1:51" ht="13.5" thickBot="1">
      <c r="A22" s="1"/>
      <c r="B22" s="386" t="s">
        <v>30</v>
      </c>
      <c r="C22" s="387"/>
      <c r="D22" s="388"/>
      <c r="E22" s="386" t="str">
        <f>IF(AK8&gt;1,"Match 2","")</f>
        <v>Match 2</v>
      </c>
      <c r="F22" s="387"/>
      <c r="G22" s="388"/>
      <c r="H22" s="386" t="str">
        <f>IF(AK8&gt;2,"Match 3","")</f>
        <v>Match 3</v>
      </c>
      <c r="I22" s="387"/>
      <c r="J22" s="388"/>
      <c r="K22" s="386" t="str">
        <f>IF(AK8&gt;3,"Match 4","")</f>
        <v/>
      </c>
      <c r="L22" s="387"/>
      <c r="M22" s="388"/>
      <c r="N22" s="386" t="str">
        <f>IF(AK8&gt;4,"Match 5","")</f>
        <v/>
      </c>
      <c r="O22" s="387"/>
      <c r="P22" s="388"/>
      <c r="Q22" s="386" t="str">
        <f>IF(AK8&gt;5,"Match 6","")</f>
        <v/>
      </c>
      <c r="R22" s="387"/>
      <c r="S22" s="388"/>
      <c r="T22" s="386" t="str">
        <f>IF(AK8&gt;6,"Match 7","")</f>
        <v/>
      </c>
      <c r="U22" s="387"/>
      <c r="V22" s="388"/>
      <c r="W22" s="386" t="str">
        <f>IF(AK8&gt;7,"Match 8","")</f>
        <v/>
      </c>
      <c r="X22" s="387"/>
      <c r="Y22" s="388"/>
      <c r="Z22" s="386" t="str">
        <f>IF(AK8&gt;8,"Match 9","")</f>
        <v/>
      </c>
      <c r="AA22" s="387"/>
      <c r="AB22" s="388"/>
      <c r="AC22" s="386" t="str">
        <f>IF(AK8&gt;9,"Match 10","")</f>
        <v/>
      </c>
      <c r="AD22" s="387"/>
      <c r="AE22" s="388"/>
      <c r="AF22" s="380"/>
      <c r="AG22" s="381"/>
      <c r="AH22" s="381"/>
      <c r="AI22" s="381"/>
      <c r="AJ22" s="381"/>
      <c r="AK22" s="381"/>
      <c r="AL22" s="381"/>
      <c r="AM22" s="381"/>
      <c r="AN22" s="381"/>
      <c r="AO22" s="381"/>
      <c r="AP22" s="381"/>
      <c r="AQ22" s="382"/>
      <c r="AS22" s="104"/>
      <c r="AT22" s="510"/>
      <c r="AU22" s="511"/>
      <c r="AV22" s="511"/>
      <c r="AW22" s="508"/>
    </row>
    <row r="23" spans="1:51" ht="15.75">
      <c r="A23" s="1"/>
      <c r="B23" s="389" t="s">
        <v>33</v>
      </c>
      <c r="C23" s="390"/>
      <c r="D23" s="391"/>
      <c r="E23" s="389" t="s">
        <v>31</v>
      </c>
      <c r="F23" s="390"/>
      <c r="G23" s="391"/>
      <c r="H23" s="389" t="s">
        <v>32</v>
      </c>
      <c r="I23" s="390"/>
      <c r="J23" s="391"/>
      <c r="K23" s="389"/>
      <c r="L23" s="390"/>
      <c r="M23" s="391"/>
      <c r="N23" s="389"/>
      <c r="O23" s="390"/>
      <c r="P23" s="391"/>
      <c r="Q23" s="389"/>
      <c r="R23" s="390"/>
      <c r="S23" s="391"/>
      <c r="T23" s="389"/>
      <c r="U23" s="390"/>
      <c r="V23" s="391"/>
      <c r="W23" s="389"/>
      <c r="X23" s="390"/>
      <c r="Y23" s="391"/>
      <c r="Z23" s="389"/>
      <c r="AA23" s="390"/>
      <c r="AB23" s="391"/>
      <c r="AC23" s="389"/>
      <c r="AD23" s="390"/>
      <c r="AE23" s="391"/>
      <c r="AF23" s="160" t="s">
        <v>34</v>
      </c>
      <c r="AG23" s="108">
        <v>1</v>
      </c>
      <c r="AH23" s="108">
        <v>2</v>
      </c>
      <c r="AI23" s="108">
        <v>3</v>
      </c>
      <c r="AJ23" s="108">
        <v>4</v>
      </c>
      <c r="AK23" s="108">
        <v>5</v>
      </c>
      <c r="AL23" s="108">
        <v>6</v>
      </c>
      <c r="AM23" s="108">
        <v>7</v>
      </c>
      <c r="AN23" s="108">
        <v>8</v>
      </c>
      <c r="AO23" s="108">
        <v>9</v>
      </c>
      <c r="AP23" s="108">
        <v>10</v>
      </c>
      <c r="AQ23" s="161" t="s">
        <v>200</v>
      </c>
      <c r="AS23" s="104"/>
      <c r="AT23" s="510"/>
      <c r="AU23" s="511"/>
      <c r="AV23" s="511"/>
      <c r="AW23" s="511"/>
      <c r="AX23" s="511"/>
      <c r="AY23" s="511"/>
    </row>
    <row r="24" spans="1:51" ht="15.75">
      <c r="A24" s="1"/>
      <c r="B24" s="109">
        <v>1</v>
      </c>
      <c r="C24" s="110" t="s">
        <v>35</v>
      </c>
      <c r="D24" s="111">
        <v>2</v>
      </c>
      <c r="E24" s="109">
        <v>2</v>
      </c>
      <c r="F24" s="110" t="str">
        <f>IF(AK8&gt;1,"v","")</f>
        <v>v</v>
      </c>
      <c r="G24" s="111">
        <v>3</v>
      </c>
      <c r="H24" s="109">
        <v>1</v>
      </c>
      <c r="I24" s="110" t="str">
        <f>IF(AK8&gt;2,"v","")</f>
        <v>v</v>
      </c>
      <c r="J24" s="111">
        <v>3</v>
      </c>
      <c r="K24" s="109"/>
      <c r="L24" s="110" t="str">
        <f>IF(AK8&gt;3,"v","")</f>
        <v/>
      </c>
      <c r="M24" s="111"/>
      <c r="N24" s="109"/>
      <c r="O24" s="110" t="str">
        <f>IF(AK8&gt;4,"v","")</f>
        <v/>
      </c>
      <c r="P24" s="111"/>
      <c r="Q24" s="109"/>
      <c r="R24" s="110" t="str">
        <f>IF(AK8&gt;5,"v","")</f>
        <v/>
      </c>
      <c r="S24" s="111"/>
      <c r="T24" s="109"/>
      <c r="U24" s="110" t="str">
        <f>IF(AK8&gt;6,"v","")</f>
        <v/>
      </c>
      <c r="V24" s="111"/>
      <c r="W24" s="109"/>
      <c r="X24" s="110" t="str">
        <f>IF(AK8&gt;7,"v","")</f>
        <v/>
      </c>
      <c r="Y24" s="111"/>
      <c r="Z24" s="109"/>
      <c r="AA24" s="110" t="str">
        <f>IF(AK8&gt;8,"v","")</f>
        <v/>
      </c>
      <c r="AB24" s="111"/>
      <c r="AC24" s="109"/>
      <c r="AD24" s="110" t="str">
        <f>IF(AK8&gt;9,"v","")</f>
        <v/>
      </c>
      <c r="AE24" s="111"/>
      <c r="AF24" s="160" t="str">
        <f>IF(AK9&gt;0,"Team 1","")</f>
        <v>Team 1</v>
      </c>
      <c r="AG24" s="162">
        <f>IF(AK9&lt;1,"",IF(AK8&lt;1,"",IF(B24=1,B30-D30,IF(D24=1,D30-B30,""))))</f>
        <v>-27</v>
      </c>
      <c r="AH24" s="162" t="str">
        <f>IF(AK9&lt;1,"",IF(AK8&lt;2,"",IF(E24=1,E30-G30,IF(G24=1,G30-E30,""))))</f>
        <v/>
      </c>
      <c r="AI24" s="162">
        <f>IF(AK9&lt;1,"",IF(AK8&lt;3,"",IF(H24=1,H30-J30,IF(J24=1,J30-H30,""))))</f>
        <v>17</v>
      </c>
      <c r="AJ24" s="162" t="str">
        <f>IF(AK9&lt;1,"",IF(AK8&lt;4,"",IF(K24=1,K30-M30,IF(M24=1,M30-K30,""))))</f>
        <v/>
      </c>
      <c r="AK24" s="162" t="str">
        <f>IF(AK9&lt;1,"",IF(AK8&lt;5,"",IF(N24=1,N30-P30,IF(P24=1,P30-N30,""))))</f>
        <v/>
      </c>
      <c r="AL24" s="162" t="str">
        <f>IF(AK9&lt;1,"",IF(AK8&lt;6,"",IF(Q24=1,Q30-S30,IF(S24=1,S30-Q30,""))))</f>
        <v/>
      </c>
      <c r="AM24" s="162" t="str">
        <f>IF(AK9&lt;1,"",IF(AK8&lt;7,"",IF(T24=1,T30-V30,IF(V24=1,V30-T30,""))))</f>
        <v/>
      </c>
      <c r="AN24" s="162" t="str">
        <f>IF(AK9&lt;1,"",IF(AK8&lt;8,"",IF(W24=1,W30-Y30,IF(Y24=1,Y30-W30,""))))</f>
        <v/>
      </c>
      <c r="AO24" s="162" t="str">
        <f>IF(AK9&lt;1,"",IF(AK8&lt;9,"",IF(Z24=1,Z30-AB30,IF(AB24=1,AB30-Z30,""))))</f>
        <v/>
      </c>
      <c r="AP24" s="162" t="str">
        <f>IF(AK9&lt;1,"",IF(AK8&lt;10,"",IF(AC24=1,AC30-AE30,IF(AE24=1,AE30-AC30,""))))</f>
        <v/>
      </c>
      <c r="AQ24" s="161">
        <f>SUM(AG24:AP24)</f>
        <v>-10</v>
      </c>
      <c r="AS24" s="104"/>
      <c r="AT24" s="510"/>
      <c r="AU24" s="511"/>
      <c r="AV24" s="511"/>
      <c r="AW24" s="511"/>
      <c r="AX24" s="511"/>
      <c r="AY24" s="511"/>
    </row>
    <row r="25" spans="1:51" ht="15">
      <c r="A25" s="3" t="s">
        <v>36</v>
      </c>
      <c r="B25" s="112">
        <v>9</v>
      </c>
      <c r="C25" s="113" t="s">
        <v>37</v>
      </c>
      <c r="D25" s="114">
        <v>21</v>
      </c>
      <c r="E25" s="112">
        <v>23</v>
      </c>
      <c r="F25" s="113" t="str">
        <f>IF(AK8&gt;1,"/","")</f>
        <v>/</v>
      </c>
      <c r="G25" s="114">
        <v>7</v>
      </c>
      <c r="H25" s="112">
        <v>22</v>
      </c>
      <c r="I25" s="113" t="str">
        <f>IF(AK8&gt;2,"/","")</f>
        <v>/</v>
      </c>
      <c r="J25" s="114">
        <v>14</v>
      </c>
      <c r="K25" s="112"/>
      <c r="L25" s="113" t="str">
        <f>IF(AK8&gt;3,"/","")</f>
        <v/>
      </c>
      <c r="M25" s="114"/>
      <c r="N25" s="112"/>
      <c r="O25" s="113" t="str">
        <f>IF(AK8&gt;4,"/","")</f>
        <v/>
      </c>
      <c r="P25" s="114"/>
      <c r="Q25" s="112"/>
      <c r="R25" s="113" t="str">
        <f>IF(AK8&gt;5,"/","")</f>
        <v/>
      </c>
      <c r="S25" s="114"/>
      <c r="T25" s="112"/>
      <c r="U25" s="113" t="str">
        <f>IF(AK8&gt;6,"/","")</f>
        <v/>
      </c>
      <c r="V25" s="114"/>
      <c r="W25" s="112"/>
      <c r="X25" s="113" t="str">
        <f>IF(AK8&gt;7,"/","")</f>
        <v/>
      </c>
      <c r="Y25" s="114"/>
      <c r="Z25" s="112"/>
      <c r="AA25" s="113" t="str">
        <f>IF(AK8&gt;8,"/","")</f>
        <v/>
      </c>
      <c r="AB25" s="114"/>
      <c r="AC25" s="112"/>
      <c r="AD25" s="113" t="str">
        <f>IF(AK8&gt;9,"/","")</f>
        <v/>
      </c>
      <c r="AE25" s="114"/>
      <c r="AF25" s="160" t="str">
        <f>IF(AK9&gt;1,"Team 2","")</f>
        <v>Team 2</v>
      </c>
      <c r="AG25" s="162">
        <f>IF(AK9&lt;2,"",IF(AK8&lt;1,"",IF(B24=2,B30-D30,IF(D24=2,D30-B30,""))))</f>
        <v>27</v>
      </c>
      <c r="AH25" s="162">
        <f>IF(AK9&lt;2,"",IF(AK8&lt;2,"",IF(E24=2,E30-G30,IF(G24=2,G30-E30,""))))</f>
        <v>27</v>
      </c>
      <c r="AI25" s="162" t="str">
        <f>IF(AK9&lt;2,"",IF(AK8&lt;3,"",IF(H24=2,H30-J30,IF(J24=2,J30-H30,""))))</f>
        <v/>
      </c>
      <c r="AJ25" s="162" t="str">
        <f>IF(AK9&lt;2,"",IF(AK8&lt;4,"",IF(K24=2,K30-M30,IF(M24=2,M30-K30,""))))</f>
        <v/>
      </c>
      <c r="AK25" s="162" t="str">
        <f>IF(AK9&lt;2,"",IF(AK8&lt;5,"",IF(N24=2,N30-P30,IF(P24=2,P30-N30,""))))</f>
        <v/>
      </c>
      <c r="AL25" s="162" t="str">
        <f>IF(AK9&lt;2,"",IF(AK8&lt;6,"",IF(Q24=2,Q30-S30,IF(S24=2,S30-Q30,""))))</f>
        <v/>
      </c>
      <c r="AM25" s="162" t="str">
        <f>IF(AK9&lt;2,"",IF(AK8&lt;7,"",IF(T24=2,T30-V30,IF(V24=2,V30-T30,""))))</f>
        <v/>
      </c>
      <c r="AN25" s="162" t="str">
        <f>IF(AK9&lt;2,"",IF(AK8&lt;8,"",IF(W24=2,W30-Y30,IF(Y24=2,Y30-W30,""))))</f>
        <v/>
      </c>
      <c r="AO25" s="162" t="str">
        <f>IF(AK9&lt;2,"",IF(AK8&lt;9,"",IF(Z24=2,Z30-AB30,IF(AB24=2,AB30-Z30,""))))</f>
        <v/>
      </c>
      <c r="AP25" s="162" t="str">
        <f>IF(AK9&lt;2,"",IF(AK8&lt;10,"",IF(AC24=2,AC30-AE30,IF(AE24=2,AE30-AC30,""))))</f>
        <v/>
      </c>
      <c r="AQ25" s="161">
        <f>SUM(AG25:AP25)</f>
        <v>54</v>
      </c>
      <c r="AS25" s="132"/>
      <c r="AT25" s="509"/>
      <c r="AU25" s="509"/>
      <c r="AV25" s="509"/>
      <c r="AW25" s="508"/>
    </row>
    <row r="26" spans="1:51" ht="15">
      <c r="A26" s="46" t="str">
        <f>IF(AK7&gt;1,"Game 2","")</f>
        <v>Game 2</v>
      </c>
      <c r="B26" s="112">
        <v>12</v>
      </c>
      <c r="C26" s="113" t="s">
        <v>37</v>
      </c>
      <c r="D26" s="114">
        <v>27</v>
      </c>
      <c r="E26" s="112">
        <v>21</v>
      </c>
      <c r="F26" s="113" t="str">
        <f>IF(AK8&gt;1,IF(AK7&gt;1,"/",""),"")</f>
        <v>/</v>
      </c>
      <c r="G26" s="114">
        <v>10</v>
      </c>
      <c r="H26" s="112">
        <v>22</v>
      </c>
      <c r="I26" s="113" t="str">
        <f>IF(AK8&gt;2,IF(AK7&gt;1,"/",""),"")</f>
        <v>/</v>
      </c>
      <c r="J26" s="114">
        <v>13</v>
      </c>
      <c r="K26" s="112"/>
      <c r="L26" s="113" t="str">
        <f>IF(AK8&gt;3,IF(AK7&gt;1,"/",""),"")</f>
        <v/>
      </c>
      <c r="M26" s="114"/>
      <c r="N26" s="112"/>
      <c r="O26" s="113" t="str">
        <f>IF(AK8&gt;4,IF(AK7&gt;1,"/",""),"")</f>
        <v/>
      </c>
      <c r="P26" s="114"/>
      <c r="Q26" s="112"/>
      <c r="R26" s="113" t="str">
        <f>IF(AK8&gt;5,IF(AK7&gt;1,"/",""),"")</f>
        <v/>
      </c>
      <c r="S26" s="114"/>
      <c r="T26" s="112"/>
      <c r="U26" s="113" t="str">
        <f>IF(AK8&gt;6,IF(AK7&gt;1,"/",""),"")</f>
        <v/>
      </c>
      <c r="V26" s="114"/>
      <c r="W26" s="112"/>
      <c r="X26" s="113" t="str">
        <f>IF(AK8&gt;7,IF(AK7&gt;1,"/",""),"")</f>
        <v/>
      </c>
      <c r="Y26" s="114"/>
      <c r="Z26" s="112"/>
      <c r="AA26" s="113" t="str">
        <f>IF(AK8&gt;8,IF(AK7&gt;1,"/",""),"")</f>
        <v/>
      </c>
      <c r="AB26" s="114"/>
      <c r="AC26" s="112"/>
      <c r="AD26" s="113" t="str">
        <f>IF(AK8&gt;9,IF(AK7&gt;1,"/",""),"")</f>
        <v/>
      </c>
      <c r="AE26" s="114"/>
      <c r="AF26" s="160" t="str">
        <f>IF(AK9&gt;2,"Team 3","")</f>
        <v>Team 3</v>
      </c>
      <c r="AG26" s="162" t="str">
        <f>IF(AK9&lt;3,"",IF(AK8&lt;1,"",IF(B24=3,B30-D30,IF(D24=3,D30-B30,""))))</f>
        <v/>
      </c>
      <c r="AH26" s="162">
        <f>IF(AK9&lt;3,"",IF(AK8&lt;2,"",IF(E24=3,E30-G30,IF(G24=3,G30-E30,""))))</f>
        <v>-27</v>
      </c>
      <c r="AI26" s="162">
        <f>IF(AK9&lt;3,"",IF(AK8&lt;3,"",IF(H24=3,H30-J30,IF(J24=3,J30-H30,""))))</f>
        <v>-17</v>
      </c>
      <c r="AJ26" s="162" t="str">
        <f>IF(AK9&lt;3,"",IF(AK8&lt;4,"",IF(K24=3,K30-M30,IF(M24=3,M30-K30,""))))</f>
        <v/>
      </c>
      <c r="AK26" s="162" t="str">
        <f>IF(AK9&lt;3,"",IF(AK8&lt;5,"",IF(N24=3,N30-P30,IF(P24=3,P30-N30,""))))</f>
        <v/>
      </c>
      <c r="AL26" s="162" t="str">
        <f>IF(AK9&lt;3,"",IF(AK8&lt;6,"",IF(Q24=3,Q30-S30,IF(S24=3,S30-Q30,""))))</f>
        <v/>
      </c>
      <c r="AM26" s="162" t="str">
        <f>IF(AK9&lt;3,"",IF(AK8&lt;7,"",IF(T24=3,T30-V30,IF(V24=3,V30-T30,""))))</f>
        <v/>
      </c>
      <c r="AN26" s="162" t="str">
        <f>IF(AK9&lt;3,"",IF(AK8&lt;8,"",IF(W24=3,W30-Y30,IF(Y24=3,Y30-W30,""))))</f>
        <v/>
      </c>
      <c r="AO26" s="162" t="str">
        <f>IF(AK9&lt;3,"",IF(AK8&lt;9,"",IF(Z24=3,Z30-AB30,IF(AB24=3,AB30-Z30,""))))</f>
        <v/>
      </c>
      <c r="AP26" s="162" t="str">
        <f>IF(AK9&lt;3,"",IF(AK8&lt;9,"",IF(AC24=3,AC30-AE30,IF(AE24=3,AE30-AC30,""))))</f>
        <v/>
      </c>
      <c r="AQ26" s="161">
        <f>SUM(AG26:AP26)</f>
        <v>-44</v>
      </c>
      <c r="AS26" s="132"/>
      <c r="AT26" s="509"/>
      <c r="AU26" s="509"/>
      <c r="AV26" s="509"/>
      <c r="AW26" s="508"/>
    </row>
    <row r="27" spans="1:51" ht="15" hidden="1">
      <c r="A27" s="46" t="str">
        <f>IF(AK7&gt;2,"Game 3","")</f>
        <v/>
      </c>
      <c r="B27" s="112"/>
      <c r="C27" s="113" t="s">
        <v>37</v>
      </c>
      <c r="D27" s="114"/>
      <c r="E27" s="112"/>
      <c r="F27" s="113" t="str">
        <f>IF(AK8&gt;1,IF(AK7&gt;2,"/",""),"")</f>
        <v/>
      </c>
      <c r="G27" s="114"/>
      <c r="H27" s="112"/>
      <c r="I27" s="113" t="str">
        <f>IF(AK8&gt;2,IF(AK7&gt;2,"/",""),"")</f>
        <v/>
      </c>
      <c r="J27" s="114"/>
      <c r="K27" s="112"/>
      <c r="L27" s="113" t="str">
        <f>IF(AK8&gt;3,IF(AK7&gt;2,"/",""),"")</f>
        <v/>
      </c>
      <c r="M27" s="114"/>
      <c r="N27" s="112"/>
      <c r="O27" s="113" t="str">
        <f>IF(AK8&gt;4,IF(AK7&gt;2,"/",""),"")</f>
        <v/>
      </c>
      <c r="P27" s="114"/>
      <c r="Q27" s="112"/>
      <c r="R27" s="113" t="str">
        <f>IF(AK8&gt;5,IF(AK7&gt;2,"/",""),"")</f>
        <v/>
      </c>
      <c r="S27" s="114"/>
      <c r="T27" s="112"/>
      <c r="U27" s="113" t="str">
        <f>IF(AK8&gt;6,IF(AK7&gt;2,"/",""),"")</f>
        <v/>
      </c>
      <c r="V27" s="114"/>
      <c r="W27" s="112"/>
      <c r="X27" s="113" t="str">
        <f>IF(AK8&gt;7,IF(AK7&gt;2,"/",""),"")</f>
        <v/>
      </c>
      <c r="Y27" s="114"/>
      <c r="Z27" s="112"/>
      <c r="AA27" s="113" t="str">
        <f>IF(AK8&gt;8,IF(AK7&gt;2,"/",""),"")</f>
        <v/>
      </c>
      <c r="AB27" s="114"/>
      <c r="AC27" s="112"/>
      <c r="AD27" s="113" t="str">
        <f>IF(AK8&gt;9,IF(AK7&gt;2,"/",""),"")</f>
        <v/>
      </c>
      <c r="AE27" s="114"/>
      <c r="AF27" s="160" t="str">
        <f>IF(AK9&gt;3,"Team 4","")</f>
        <v/>
      </c>
      <c r="AG27" s="162" t="str">
        <f>IF(AK9&lt;4,"",IF(AK8&lt;1,"",IF(B24=4,B30-D30,IF(D24=4,D30-B30,""))))</f>
        <v/>
      </c>
      <c r="AH27" s="162" t="str">
        <f>IF(AK9&lt;4,"",IF(AK8&lt;2,"",IF(E24=4,E30-G30,IF(G24=4,G30-E30,""))))</f>
        <v/>
      </c>
      <c r="AI27" s="162" t="str">
        <f>IF(AK9&lt;4,"",IF(AK8&lt;3,"",IF(H24=4,H30-J30,IF(J24=4,J30-H30,""))))</f>
        <v/>
      </c>
      <c r="AJ27" s="162" t="str">
        <f>IF(AK9&lt;4,"",IF(AK8&lt;4,"",IF(K24=4,K30-M30,IF(M24=4,M30-K30,""))))</f>
        <v/>
      </c>
      <c r="AK27" s="162" t="str">
        <f>IF(AK9&lt;4,"",IF(AK8&lt;5,"",IF(N24=4,N30-P30,IF(P24=4,P30-N30,""))))</f>
        <v/>
      </c>
      <c r="AL27" s="162" t="str">
        <f>IF(AK9&lt;4,"",IF(AK8&lt;6,"",IF(Q24=4,Q30-S30,IF(S24=4,S30-Q30,""))))</f>
        <v/>
      </c>
      <c r="AM27" s="162" t="str">
        <f>IF(AK9&lt;4,"",IF(AK8&lt;7,"",IF(T24=4,T30-V30,IF(V24=4,V30-T30,""))))</f>
        <v/>
      </c>
      <c r="AN27" s="162" t="str">
        <f>IF(AK9&lt;4,"",IF(AK8&lt;8,"",IF(W24=4,W30-Y30,IF(Y24=4,Y30-W30,""))))</f>
        <v/>
      </c>
      <c r="AO27" s="162" t="str">
        <f>IF(AK9&lt;4,"",IF(AK8&lt;9,"",IF(Z24=4,Z30-AB30,IF(AB24=4,AB30-Z30,""))))</f>
        <v/>
      </c>
      <c r="AP27" s="162" t="str">
        <f>IF(AK9&lt;4,"",IF(AK8&lt;10,"",IF(AC24=4,AC30-AE30,IF(AE24=4,AE30-AC30,""))))</f>
        <v/>
      </c>
      <c r="AQ27" s="161">
        <f>SUM(AG27:AP27)</f>
        <v>0</v>
      </c>
      <c r="AW27" s="508"/>
    </row>
    <row r="28" spans="1:51" ht="15" hidden="1">
      <c r="A28" s="46" t="str">
        <f>IF(AK7&gt;3,"Game 4","")</f>
        <v/>
      </c>
      <c r="B28" s="112"/>
      <c r="C28" s="113" t="s">
        <v>37</v>
      </c>
      <c r="D28" s="114"/>
      <c r="E28" s="112"/>
      <c r="F28" s="113" t="str">
        <f>IF(AK8&gt;1,IF(AK7&gt;3,"/",""),"")</f>
        <v/>
      </c>
      <c r="G28" s="114"/>
      <c r="H28" s="112"/>
      <c r="I28" s="113" t="str">
        <f>IF(AK8&gt;2,IF(AK7&gt;3,"/",""),"")</f>
        <v/>
      </c>
      <c r="J28" s="114"/>
      <c r="K28" s="112"/>
      <c r="L28" s="113" t="str">
        <f>IF(AK8&gt;3,IF(AK7&gt;3,"/",""),"")</f>
        <v/>
      </c>
      <c r="M28" s="114"/>
      <c r="N28" s="112"/>
      <c r="O28" s="113" t="str">
        <f>IF(AK8&gt;4,IF(AK7&gt;3,"/",""),"")</f>
        <v/>
      </c>
      <c r="P28" s="114"/>
      <c r="Q28" s="112"/>
      <c r="R28" s="113" t="str">
        <f>IF(AK8&gt;5,IF(AK7&gt;3,"/",""),"")</f>
        <v/>
      </c>
      <c r="S28" s="114"/>
      <c r="T28" s="112"/>
      <c r="U28" s="113" t="str">
        <f>IF(AK8&gt;6,IF(AK7&gt;3,"/",""),"")</f>
        <v/>
      </c>
      <c r="V28" s="114"/>
      <c r="W28" s="112"/>
      <c r="X28" s="113" t="str">
        <f>IF(AK8&gt;7,IF(AK7&gt;3,"/",""),"")</f>
        <v/>
      </c>
      <c r="Y28" s="114"/>
      <c r="Z28" s="112"/>
      <c r="AA28" s="113" t="str">
        <f>IF(AK8&gt;8,IF(AK7&gt;3,"/",""),"")</f>
        <v/>
      </c>
      <c r="AB28" s="114"/>
      <c r="AC28" s="112"/>
      <c r="AD28" s="113" t="str">
        <f>IF(AK8&gt;9,IF(AK7&gt;3,"/",""),"")</f>
        <v/>
      </c>
      <c r="AE28" s="114"/>
      <c r="AF28" s="160" t="str">
        <f>IF(AK9&gt;4,"Team 5","")</f>
        <v/>
      </c>
      <c r="AG28" s="163" t="str">
        <f>IF(AK9&lt;5,"",IF(AK8&lt;1,"",IF(B24=5,B30-D30,IF(D24=5,D30-B30,""))))</f>
        <v/>
      </c>
      <c r="AH28" s="162" t="str">
        <f>IF(AK9&lt;5,"",IF(AK8&lt;2,"",IF(E24=5,E30-G30,IF(G24=5,G30-E30,""))))</f>
        <v/>
      </c>
      <c r="AI28" s="162" t="str">
        <f>IF(AK9&lt;5,"",IF(AK8&lt;3,"",IF(H24=5,H30-J30,IF(J24=5,J30-H30,""))))</f>
        <v/>
      </c>
      <c r="AJ28" s="162" t="str">
        <f>IF(AK9&lt;5,"",IF(AK8&lt;4,"",IF(K24=5,K30-M30,IF(M24=5,M30-K30,""))))</f>
        <v/>
      </c>
      <c r="AK28" s="162" t="str">
        <f>IF(AK9&lt;5,"",IF(AK8&lt;5,"",IF(N24=5,N30-P30,IF(P24=5,P30-N30,""))))</f>
        <v/>
      </c>
      <c r="AL28" s="162" t="str">
        <f>IF(AK9&lt;5,"",IF(AK8&lt;6,"",IF(Q24=5,Q30-S30,IF(S24=5,S30-Q30,""))))</f>
        <v/>
      </c>
      <c r="AM28" s="162" t="str">
        <f>IF(AK9&lt;5,"",IF(AK8&lt;7,"",IF(T24=5,T30-V30,IF(V24=5,V30-T30,""))))</f>
        <v/>
      </c>
      <c r="AN28" s="162" t="str">
        <f>IF(AK9&lt;5,"",IF(AK8&lt;8,"",IF(W24=5,W30-Y30,IF(Y24=5,Y30-W30,""))))</f>
        <v/>
      </c>
      <c r="AO28" s="162" t="str">
        <f>IF(AK9&lt;5,"",IF(AK8&lt;9,"",IF(Z24=5,Z30-AB30,IF(AB24=5,AB30-Z30,""))))</f>
        <v/>
      </c>
      <c r="AP28" s="162" t="str">
        <f>IF(AK9&lt;5,"",IF(AK8&lt;10,"",IF(AC24=5,AC30-AE30,IF(AE24=5,AE30-AC30,""))))</f>
        <v/>
      </c>
      <c r="AQ28" s="161">
        <f>SUM(AG28:AP28)</f>
        <v>0</v>
      </c>
      <c r="AW28" s="509"/>
      <c r="AX28" s="509"/>
      <c r="AY28" s="509"/>
    </row>
    <row r="29" spans="1:51" ht="15">
      <c r="A29" s="46" t="str">
        <f>IF(AK7&gt;4,"Game 5","")</f>
        <v/>
      </c>
      <c r="B29" s="112"/>
      <c r="C29" s="113" t="s">
        <v>37</v>
      </c>
      <c r="D29" s="114"/>
      <c r="E29" s="112"/>
      <c r="F29" s="113" t="str">
        <f>IF(AK8&gt;1,IF(AK7&gt;4,"/",""),"")</f>
        <v/>
      </c>
      <c r="G29" s="114"/>
      <c r="H29" s="112"/>
      <c r="I29" s="113" t="str">
        <f>IF(AK8&gt;2,IF(AK7&gt;4,"/",""),"")</f>
        <v/>
      </c>
      <c r="J29" s="114"/>
      <c r="K29" s="112"/>
      <c r="L29" s="113" t="str">
        <f>IF(AK8&gt;3,IF(AK7&gt;4,"/",""),"")</f>
        <v/>
      </c>
      <c r="M29" s="114"/>
      <c r="N29" s="112"/>
      <c r="O29" s="113" t="str">
        <f>IF(AK8&gt;4,IF(AK7&gt;4,"/",""),"")</f>
        <v/>
      </c>
      <c r="P29" s="114"/>
      <c r="Q29" s="112"/>
      <c r="R29" s="113" t="str">
        <f>IF(AK8&gt;5,IF(AK7&gt;4,"/",""),"")</f>
        <v/>
      </c>
      <c r="S29" s="114"/>
      <c r="T29" s="112"/>
      <c r="U29" s="113" t="str">
        <f>IF(AK8&gt;6,IF(AK7&gt;4,"/",""),"")</f>
        <v/>
      </c>
      <c r="V29" s="114"/>
      <c r="W29" s="112"/>
      <c r="X29" s="113" t="str">
        <f>IF(AK8&gt;7,IF(AK7&gt;4,"/",""),"")</f>
        <v/>
      </c>
      <c r="Y29" s="114"/>
      <c r="Z29" s="112"/>
      <c r="AA29" s="113" t="str">
        <f>IF(AK8&gt;8,IF(AK7&gt;4,"/",""),"")</f>
        <v/>
      </c>
      <c r="AB29" s="114"/>
      <c r="AC29" s="112"/>
      <c r="AD29" s="113" t="str">
        <f>IF(AK8&gt;9,IF(AK7&gt;4,"/",""),"")</f>
        <v/>
      </c>
      <c r="AE29" s="114"/>
      <c r="AF29" s="1"/>
      <c r="AG29" s="1"/>
      <c r="AH29" s="1"/>
      <c r="AI29" s="1"/>
      <c r="AJ29" s="1"/>
      <c r="AK29" s="1"/>
      <c r="AL29" s="1"/>
      <c r="AM29" s="1"/>
      <c r="AN29" s="1"/>
      <c r="AO29" s="1"/>
      <c r="AP29" s="1"/>
      <c r="AQ29" s="1"/>
      <c r="AW29" s="509"/>
      <c r="AX29" s="509"/>
      <c r="AY29" s="509"/>
    </row>
    <row r="30" spans="1:51" hidden="1">
      <c r="A30" s="116"/>
      <c r="B30" s="116">
        <f>IF($AK7=5,SUM(B25:B29),IF($AK7=4,SUM(B25:B28),IF($AK7=3,SUM(B25:B27),IF($AK7=2,SUM(B25:B26),B25))))</f>
        <v>21</v>
      </c>
      <c r="C30" s="116"/>
      <c r="D30" s="116">
        <f>IF($AK7=5,SUM(D25:D29),IF($AK7=4,SUM(D25:D28),IF($AK7=3,SUM(D25:D27),IF($AK7=2,SUM(D25:D26),D25))))</f>
        <v>48</v>
      </c>
      <c r="E30" s="116">
        <f>IF($AK7=5,SUM(E25:E29),IF($AK7=4,SUM(E25:E28),IF($AK7=3,SUM(E25:E27),IF($AK7=2,SUM(E25:E26),E25))))</f>
        <v>44</v>
      </c>
      <c r="F30" s="116"/>
      <c r="G30" s="116">
        <f>IF($AK7=5,SUM(G25:G29),IF($AK7=4,SUM(G25:G28),IF($AK7=3,SUM(G25:G27),IF($AK7=2,SUM(G25:G26),G25))))</f>
        <v>17</v>
      </c>
      <c r="H30" s="116">
        <f>IF($AK7=5,SUM(H25:H29),IF($AK7=4,SUM(H25:H28),IF($AK7=3,SUM(H25:H27),IF($AK7=2,SUM(H25:H26),H25))))</f>
        <v>44</v>
      </c>
      <c r="I30" s="116"/>
      <c r="J30" s="116">
        <f>IF($AK7=5,SUM(J25:J29),IF($AK7=4,SUM(J25:J28),IF($AK7=3,SUM(J25:J27),IF($AK7=2,SUM(J25:J26),J25))))</f>
        <v>27</v>
      </c>
      <c r="K30" s="116">
        <f>IF($AK7=5,SUM(K25:K29),IF($AK7=4,SUM(K25:K28),IF($AK7=3,SUM(K25:K27),IF($AK7=2,SUM(K25:K26),K25))))</f>
        <v>0</v>
      </c>
      <c r="L30" s="116"/>
      <c r="M30" s="116">
        <f>IF($AK7=5,SUM(M25:M29),IF($AK7=4,SUM(M25:M28),IF($AK7=3,SUM(M25:M27),IF($AK7=2,SUM(M25:M26),M25))))</f>
        <v>0</v>
      </c>
      <c r="N30" s="116">
        <f>IF($AK7=5,SUM(N25:N29),IF($AK7=4,SUM(N25:N28),IF($AK7=3,SUM(N25:N27),IF($AK7=2,SUM(N25:N26),N25))))</f>
        <v>0</v>
      </c>
      <c r="O30" s="116"/>
      <c r="P30" s="116">
        <f>IF($AK7=5,SUM(P25:P29),IF($AK7=4,SUM(P25:P28),IF($AK7=3,SUM(P25:P27),IF($AK7=2,SUM(P25:P26),P25))))</f>
        <v>0</v>
      </c>
      <c r="Q30" s="116">
        <f>IF($AK7=5,SUM(Q25:Q29),IF($AK7=4,SUM(Q25:Q28),IF($AK7=3,SUM(Q25:Q27),IF($AK7=2,SUM(Q25:Q26),Q25))))</f>
        <v>0</v>
      </c>
      <c r="R30" s="116"/>
      <c r="S30" s="116">
        <f>IF($AK7=5,SUM(S25:S29),IF($AK7=4,SUM(S25:S28),IF($AK7=3,SUM(S25:S27),IF($AK7=2,SUM(S25:S26),S25))))</f>
        <v>0</v>
      </c>
      <c r="T30" s="116">
        <f>IF($AK7=5,SUM(T25:T29),IF($AK7=4,SUM(T25:T28),IF($AK7=3,SUM(T25:T27),IF($AK7=2,SUM(T25:T26),T25))))</f>
        <v>0</v>
      </c>
      <c r="U30" s="116"/>
      <c r="V30" s="116">
        <f>IF($AK7=5,SUM(V25:V29),IF($AK7=4,SUM(V25:V28),IF($AK7=3,SUM(V25:V27),IF($AK7=2,SUM(V25:V26),V25))))</f>
        <v>0</v>
      </c>
      <c r="W30" s="116">
        <f>IF($AK7=5,SUM(W25:W29),IF($AK7=4,SUM(W25:W28),IF($AK7=3,SUM(W25:W27),IF($AK7=2,SUM(W25:W26),W25))))</f>
        <v>0</v>
      </c>
      <c r="X30" s="116"/>
      <c r="Y30" s="116">
        <f>IF($AK7=5,SUM(Y25:Y29),IF($AK7=4,SUM(Y25:Y28),IF($AK7=3,SUM(Y25:Y27),IF($AK7=2,SUM(Y25:Y26),Y25))))</f>
        <v>0</v>
      </c>
      <c r="Z30" s="116">
        <f>IF($AK7=5,SUM(Z25:Z29),IF($AK7=4,SUM(Z25:Z28),IF($AK7=3,SUM(Z25:Z27),IF($AK7=2,SUM(Z25:Z26),Z25))))</f>
        <v>0</v>
      </c>
      <c r="AA30" s="116"/>
      <c r="AB30" s="116">
        <f>IF($AK7=5,SUM(AB25:AB29),IF($AK7=4,SUM(AB25:AB28),IF($AK7=3,SUM(AB25:AB27),IF($AK7=2,SUM(AB25:AB26),AB25))))</f>
        <v>0</v>
      </c>
      <c r="AC30" s="116">
        <f>IF($AK7=5,SUM(AC25:AC29),IF($AK7=4,SUM(AC25:AC28),IF($AK7=3,SUM(AC25:AC27),IF($AK7=2,SUM(AC25:AC26),AC25))))</f>
        <v>0</v>
      </c>
      <c r="AD30" s="116"/>
      <c r="AE30" s="116">
        <f>IF($AK7=5,SUM(AE25:AE29),IF($AK7=4,SUM(AE25:AE28),IF($AK7=3,SUM(AE25:AE27),IF($AK7=2,SUM(AE25:AE26),AE25))))</f>
        <v>0</v>
      </c>
      <c r="AF30" s="1"/>
      <c r="AG30" s="1"/>
      <c r="AH30" s="1"/>
      <c r="AI30" s="1"/>
      <c r="AJ30" s="1"/>
      <c r="AK30" s="1"/>
      <c r="AL30" s="1"/>
      <c r="AM30" s="1"/>
      <c r="AN30" s="1"/>
      <c r="AO30" s="1"/>
      <c r="AP30" s="1"/>
      <c r="AQ30" s="1"/>
    </row>
    <row r="31" spans="1:51" s="115" customFormat="1" ht="12.75" hidden="1" customHeight="1">
      <c r="A31" s="115" t="s">
        <v>201</v>
      </c>
      <c r="B31" s="164">
        <f>IF(AND(B25&gt;D25,$AK8&gt;0,ISNUMBER(B25),ISNUMBER(D25)),1,0)</f>
        <v>0</v>
      </c>
      <c r="C31" s="164"/>
      <c r="D31" s="165">
        <f>IF(AND(D25&gt;B25,$AK8&gt;0,ISNUMBER(B25),ISNUMBER(D25)),1,0)</f>
        <v>1</v>
      </c>
      <c r="E31" s="164">
        <f>IF(AND(E25&gt;G25,$AK8&gt;1,ISNUMBER(E25),ISNUMBER(G25)),1,0)</f>
        <v>1</v>
      </c>
      <c r="F31" s="164"/>
      <c r="G31" s="165">
        <f>IF(AND(G25&gt;E25,$AK8&gt;1,ISNUMBER(E25),ISNUMBER(G25)),1,0)</f>
        <v>0</v>
      </c>
      <c r="H31" s="164">
        <f>IF(AND(H25&gt;J25,$AK8&gt;2,ISNUMBER(H25),ISNUMBER(J25)),1,0)</f>
        <v>1</v>
      </c>
      <c r="I31" s="164"/>
      <c r="J31" s="165">
        <f>IF(AND(J25&gt;H25,$AK8&gt;2,ISNUMBER(H25),ISNUMBER(J25)),1,0)</f>
        <v>0</v>
      </c>
      <c r="K31" s="164">
        <f>IF(AND(K25&gt;M25,$AK8&gt;3,ISNUMBER(K25),ISNUMBER(M25)),1,0)</f>
        <v>0</v>
      </c>
      <c r="L31" s="164"/>
      <c r="M31" s="165">
        <f>IF(AND(M25&gt;K25,$AK8&gt;3,ISNUMBER(K25),ISNUMBER(M25)),1,0)</f>
        <v>0</v>
      </c>
      <c r="N31" s="164">
        <f>IF(AND(N25&gt;P25,$AK8&gt;4,ISNUMBER(N25),ISNUMBER(P25)),1,0)</f>
        <v>0</v>
      </c>
      <c r="O31" s="164"/>
      <c r="P31" s="165">
        <f>IF(AND(P25&gt;N25,$AK8&gt;4,ISNUMBER(N25),ISNUMBER(P25)),1,0)</f>
        <v>0</v>
      </c>
      <c r="Q31" s="164">
        <f>IF(AND(Q25&gt;S25,$AK8&gt;5,ISNUMBER(Q25),ISNUMBER(S25)),1,0)</f>
        <v>0</v>
      </c>
      <c r="R31" s="164"/>
      <c r="S31" s="165">
        <f>IF(AND(S25&gt;Q25,$AK8&gt;5,ISNUMBER(Q25),ISNUMBER(S25)),1,0)</f>
        <v>0</v>
      </c>
      <c r="T31" s="164">
        <f>IF(AND(T25&gt;V25,$AK8&gt;6,ISNUMBER(T25),ISNUMBER(V25)),1,0)</f>
        <v>0</v>
      </c>
      <c r="U31" s="164"/>
      <c r="V31" s="165">
        <f>IF(AND(V25&gt;T25,$AK8&gt;6,ISNUMBER(T25),ISNUMBER(V25)),1,0)</f>
        <v>0</v>
      </c>
      <c r="W31" s="164">
        <f>IF(AND(W25&gt;Y25,$AK8&gt;7,ISNUMBER(W25),ISNUMBER(Y25)),1,0)</f>
        <v>0</v>
      </c>
      <c r="X31" s="164"/>
      <c r="Y31" s="165">
        <f>IF(AND(Y25&gt;W25,$AK8&gt;7,ISNUMBER(W25),ISNUMBER(Y25)),1,0)</f>
        <v>0</v>
      </c>
      <c r="Z31" s="164">
        <f>IF(AND(Z25&gt;AB25,$AK8&gt;8,ISNUMBER(Z25),ISNUMBER(AB25)),1,0)</f>
        <v>0</v>
      </c>
      <c r="AA31" s="164"/>
      <c r="AB31" s="165">
        <f>IF(AND(AB25&gt;Z25,$AK8&gt;8,ISNUMBER(Z25),ISNUMBER(AB25)),1,0)</f>
        <v>0</v>
      </c>
      <c r="AC31" s="164">
        <f>IF(AND(AC25&gt;AE25,$AK8&gt;9,ISNUMBER(AC25),ISNUMBER(AE25)),1,0)</f>
        <v>0</v>
      </c>
      <c r="AD31" s="164"/>
      <c r="AE31" s="165">
        <f>IF(AND(AE25&gt;AC25,$AK8&gt;9,ISNUMBER(AC25),ISNUMBER(AE25)),1,0)</f>
        <v>0</v>
      </c>
      <c r="AT31" s="513"/>
      <c r="AU31" s="513"/>
      <c r="AV31" s="513"/>
      <c r="AW31" s="514"/>
      <c r="AX31" s="513"/>
      <c r="AY31" s="513"/>
    </row>
    <row r="32" spans="1:51" s="115" customFormat="1" ht="12.75" hidden="1" customHeight="1">
      <c r="A32" s="115" t="s">
        <v>202</v>
      </c>
      <c r="B32" s="164">
        <f>IF(AND(B26&gt;D26,$AK8&gt;0,$AK7&gt;1,ISNUMBER(B26),ISNUMBER(D26)),1,0)</f>
        <v>0</v>
      </c>
      <c r="C32" s="164"/>
      <c r="D32" s="165">
        <f>IF(AND(D26&gt;B26,$AK8&gt;0,$AK7&gt;1,ISNUMBER(B26),ISNUMBER(D26)),1,0)</f>
        <v>1</v>
      </c>
      <c r="E32" s="164">
        <f>IF(AND(E26&gt;G26,$AK8&gt;1,$AK7&gt;1,ISNUMBER(E26),ISNUMBER(G26)),1,0)</f>
        <v>1</v>
      </c>
      <c r="F32" s="164"/>
      <c r="G32" s="165">
        <f>IF(AND(G26&gt;E26,$AK8&gt;1,$AK7&gt;1,ISNUMBER(E26),ISNUMBER(G26)),1,0)</f>
        <v>0</v>
      </c>
      <c r="H32" s="164">
        <f>IF(AND(H26&gt;J26,$AK8&gt;2,$AK7&gt;1,ISNUMBER(H26),ISNUMBER(J26)),1,0)</f>
        <v>1</v>
      </c>
      <c r="I32" s="164"/>
      <c r="J32" s="165">
        <f>IF(AND(J26&gt;H26,$AK8&gt;2,$AK7&gt;1,ISNUMBER(H26),ISNUMBER(J26)),1,0)</f>
        <v>0</v>
      </c>
      <c r="K32" s="164">
        <f>IF(AND(K26&gt;M26,$AK8&gt;3,$AK7&gt;1,ISNUMBER(K26),ISNUMBER(M26)),1,0)</f>
        <v>0</v>
      </c>
      <c r="L32" s="164"/>
      <c r="M32" s="165">
        <f>IF(AND(M26&gt;K26,$AK8&gt;3,$AK7&gt;1,ISNUMBER(K26),ISNUMBER(M26)),1,0)</f>
        <v>0</v>
      </c>
      <c r="N32" s="164">
        <f>IF(AND(N26&gt;P26,$AK8&gt;4,$AK7&gt;1,ISNUMBER(N26),ISNUMBER(P26)),1,0)</f>
        <v>0</v>
      </c>
      <c r="O32" s="164"/>
      <c r="P32" s="165">
        <f>IF(AND(P26&gt;N26,$AK8&gt;4,$AK7&gt;1,ISNUMBER(N26),ISNUMBER(P26)),1,0)</f>
        <v>0</v>
      </c>
      <c r="Q32" s="164">
        <f>IF(AND(Q26&gt;S26,$AK8&gt;5,$AK7&gt;1,ISNUMBER(Q26),ISNUMBER(S26)),1,0)</f>
        <v>0</v>
      </c>
      <c r="R32" s="164"/>
      <c r="S32" s="165">
        <f>IF(AND(S26&gt;Q26,$AK8&gt;5,$AK7&gt;1,ISNUMBER(Q26),ISNUMBER(S26)),1,0)</f>
        <v>0</v>
      </c>
      <c r="T32" s="164">
        <f>IF(AND(T26&gt;V26,$AK8&gt;6,$AK7&gt;1,ISNUMBER(T26),ISNUMBER(V26)),1,0)</f>
        <v>0</v>
      </c>
      <c r="U32" s="164"/>
      <c r="V32" s="165">
        <f>IF(AND(V26&gt;T26,$AK8&gt;6,$AK7&gt;1,ISNUMBER(T26),ISNUMBER(V26)),1,0)</f>
        <v>0</v>
      </c>
      <c r="W32" s="164">
        <f>IF(AND(W26&gt;Y26,$AK8&gt;7,$AK7&gt;1,ISNUMBER(W26),ISNUMBER(Y26)),1,0)</f>
        <v>0</v>
      </c>
      <c r="X32" s="164"/>
      <c r="Y32" s="165">
        <f>IF(AND(Y26&gt;W26,$AK8&gt;7,$AK7&gt;1,ISNUMBER(W26),ISNUMBER(Y26)),1,0)</f>
        <v>0</v>
      </c>
      <c r="Z32" s="164">
        <f>IF(AND(Z26&gt;AB26,$AK8&gt;8,$AK7&gt;1,ISNUMBER(Z26),ISNUMBER(AB26)),1,0)</f>
        <v>0</v>
      </c>
      <c r="AA32" s="164"/>
      <c r="AB32" s="165">
        <f>IF(AND(AB26&gt;Z26,$AK8&gt;8,$AK7&gt;1,ISNUMBER(Z26),ISNUMBER(AB26)),1,0)</f>
        <v>0</v>
      </c>
      <c r="AC32" s="164">
        <f>IF(AND(AC26&gt;AE26,$AK8&gt;9,$AK7&gt;1,ISNUMBER(AC26),ISNUMBER(AE26)),1,0)</f>
        <v>0</v>
      </c>
      <c r="AD32" s="164"/>
      <c r="AE32" s="165">
        <f>IF(AND(AE26&gt;AC26,$AK8&gt;9,$AK7&gt;1,ISNUMBER(AC26),ISNUMBER(AE26)),1,0)</f>
        <v>0</v>
      </c>
      <c r="AT32" s="513"/>
      <c r="AU32" s="513"/>
      <c r="AV32" s="513"/>
      <c r="AW32" s="514"/>
      <c r="AX32" s="513"/>
      <c r="AY32" s="513"/>
    </row>
    <row r="33" spans="1:51" s="115" customFormat="1" ht="12.75" hidden="1" customHeight="1">
      <c r="A33" s="115" t="s">
        <v>203</v>
      </c>
      <c r="B33" s="164">
        <f>IF(AND(B27&gt;D27,$AK8&gt;0,$AK7&gt;2,ISNUMBER(B27),ISNUMBER(D27)),1,0)</f>
        <v>0</v>
      </c>
      <c r="C33" s="164"/>
      <c r="D33" s="165">
        <f>IF(AND(D27&gt;B27,$AK8&gt;0,$AK7&gt;2,ISNUMBER(B27),ISNUMBER(D27)),1,0)</f>
        <v>0</v>
      </c>
      <c r="E33" s="164">
        <f>IF(AND(E27&gt;G27,$AK8&gt;1,$AK7&gt;2,ISNUMBER(E27),ISNUMBER(G27)),1,0)</f>
        <v>0</v>
      </c>
      <c r="F33" s="164"/>
      <c r="G33" s="165">
        <f>IF(AND(G27&gt;E27,$AK8&gt;1,$AK7&gt;2,ISNUMBER(E27),ISNUMBER(G27)),1,0)</f>
        <v>0</v>
      </c>
      <c r="H33" s="164">
        <f>IF(AND(H27&gt;J27,$AK8&gt;2,$AK7&gt;2,ISNUMBER(H27),ISNUMBER(J27)),1,0)</f>
        <v>0</v>
      </c>
      <c r="I33" s="164"/>
      <c r="J33" s="165">
        <f>IF(AND(J27&gt;H27,$AK8&gt;2,$AK7&gt;2,ISNUMBER(H27),ISNUMBER(J27)),1,0)</f>
        <v>0</v>
      </c>
      <c r="K33" s="164">
        <f>IF(AND(K27&gt;M27,$AK8&gt;3,$AK7&gt;2,ISNUMBER(K27),ISNUMBER(M27)),1,0)</f>
        <v>0</v>
      </c>
      <c r="L33" s="164"/>
      <c r="M33" s="165">
        <f>IF(AND(M27&gt;K27,$AK8&gt;3,$AK7&gt;2,ISNUMBER(K27),ISNUMBER(M27)),1,0)</f>
        <v>0</v>
      </c>
      <c r="N33" s="164">
        <f>IF(AND(N27&gt;P27,$AK8&gt;4,$AK7&gt;2,ISNUMBER(N27),ISNUMBER(P27)),1,0)</f>
        <v>0</v>
      </c>
      <c r="O33" s="164"/>
      <c r="P33" s="165">
        <f>IF(AND(P27&gt;N27,$AK8&gt;4,$AK7&gt;2,ISNUMBER(N27),ISNUMBER(P27)),1,0)</f>
        <v>0</v>
      </c>
      <c r="Q33" s="164">
        <f>IF(AND(Q27&gt;S27,$AK8&gt;5,$AK7&gt;2,ISNUMBER(Q27),ISNUMBER(S27)),1,0)</f>
        <v>0</v>
      </c>
      <c r="R33" s="164"/>
      <c r="S33" s="165">
        <f>IF(AND(S27&gt;Q27,$AK8&gt;5,$AK7&gt;2,ISNUMBER(Q27),ISNUMBER(S27)),1,0)</f>
        <v>0</v>
      </c>
      <c r="T33" s="164">
        <f>IF(AND(T27&gt;V27,$AK8&gt;6,$AK7&gt;2,ISNUMBER(T27),ISNUMBER(V27)),1,0)</f>
        <v>0</v>
      </c>
      <c r="U33" s="164"/>
      <c r="V33" s="165">
        <f>IF(AND(V27&gt;T27,$AK8&gt;6,$AK7&gt;2,ISNUMBER(T27),ISNUMBER(V27)),1,0)</f>
        <v>0</v>
      </c>
      <c r="W33" s="164">
        <f>IF(AND(W27&gt;Y27,$AK8&gt;7,$AK7&gt;2,ISNUMBER(W27),ISNUMBER(Y27)),1,0)</f>
        <v>0</v>
      </c>
      <c r="X33" s="164"/>
      <c r="Y33" s="165">
        <f>IF(AND(Y27&gt;W27,$AK8&gt;7,$AK7&gt;2,ISNUMBER(W27),ISNUMBER(Y27)),1,0)</f>
        <v>0</v>
      </c>
      <c r="Z33" s="164">
        <f>IF(AND(Z27&gt;AB27,$AK8&gt;8,$AK7&gt;2,ISNUMBER(Z27),ISNUMBER(AB27)),1,0)</f>
        <v>0</v>
      </c>
      <c r="AA33" s="164"/>
      <c r="AB33" s="165">
        <f>IF(AND(AB27&gt;Z27,$AK8&gt;8,$AK7&gt;2,ISNUMBER(Z27),ISNUMBER(AB27)),1,0)</f>
        <v>0</v>
      </c>
      <c r="AC33" s="164">
        <f>IF(AND(AC27&gt;AE27,$AK8&gt;9,$AK7&gt;2,ISNUMBER(AC27),ISNUMBER(AE27)),1,0)</f>
        <v>0</v>
      </c>
      <c r="AD33" s="164"/>
      <c r="AE33" s="165">
        <f>IF(AND(AE27&gt;AC27,$AK8&gt;9,$AK7&gt;2,ISNUMBER(AC27),ISNUMBER(AE27)),1,0)</f>
        <v>0</v>
      </c>
      <c r="AT33" s="513"/>
      <c r="AU33" s="513"/>
      <c r="AV33" s="513"/>
      <c r="AW33" s="514"/>
      <c r="AX33" s="513"/>
      <c r="AY33" s="513"/>
    </row>
    <row r="34" spans="1:51" s="115" customFormat="1" ht="12.75" hidden="1" customHeight="1">
      <c r="A34" s="115" t="s">
        <v>204</v>
      </c>
      <c r="B34" s="164">
        <f>IF(AND(B28&gt;D28,$AK8&gt;0,$AK7&gt;3,ISNUMBER(B28),ISNUMBER(D28)),1,0)</f>
        <v>0</v>
      </c>
      <c r="C34" s="164"/>
      <c r="D34" s="165">
        <f>IF(AND(D28&gt;B28,$AK8&gt;0,$AK7&gt;3,ISNUMBER(B28),ISNUMBER(D28)),1,0)</f>
        <v>0</v>
      </c>
      <c r="E34" s="164">
        <f>IF(AND(E28&gt;G28,$AK8&gt;1,$AK7&gt;3,ISNUMBER(E28),ISNUMBER(G28)),1,0)</f>
        <v>0</v>
      </c>
      <c r="F34" s="164"/>
      <c r="G34" s="165">
        <f>IF(AND(G28&gt;E28,$AK8&gt;1,$AK7&gt;3,ISNUMBER(E28),ISNUMBER(G28)),1,0)</f>
        <v>0</v>
      </c>
      <c r="H34" s="164">
        <f>IF(AND(H28&gt;J28,$AK8&gt;2,$AK7&gt;3,ISNUMBER(H28),ISNUMBER(J28)),1,0)</f>
        <v>0</v>
      </c>
      <c r="I34" s="164"/>
      <c r="J34" s="165">
        <f>IF(AND(J28&gt;H28,$AK8&gt;2,$AK7&gt;3,ISNUMBER(H28),ISNUMBER(J28)),1,0)</f>
        <v>0</v>
      </c>
      <c r="K34" s="164">
        <f>IF(AND(K28&gt;M28,$AK8&gt;3,$AK7&gt;3,ISNUMBER(K28),ISNUMBER(M28)),1,0)</f>
        <v>0</v>
      </c>
      <c r="L34" s="164"/>
      <c r="M34" s="165">
        <f>IF(AND(M28&gt;K28,$AK8&gt;3,$AK7&gt;3,ISNUMBER(K28),ISNUMBER(M28)),1,0)</f>
        <v>0</v>
      </c>
      <c r="N34" s="164">
        <f>IF(AND(N28&gt;P28,$AK8&gt;4,$AK7&gt;3,ISNUMBER(N28),ISNUMBER(P28)),1,0)</f>
        <v>0</v>
      </c>
      <c r="O34" s="164"/>
      <c r="P34" s="165">
        <f>IF(AND(P28&gt;N28,$AK8&gt;4,$AK7&gt;3,ISNUMBER(N28),ISNUMBER(P28)),1,0)</f>
        <v>0</v>
      </c>
      <c r="Q34" s="164">
        <f>IF(AND(Q28&gt;S28,$AK8&gt;5,$AK7&gt;3,ISNUMBER(Q28),ISNUMBER(S28)),1,0)</f>
        <v>0</v>
      </c>
      <c r="R34" s="164"/>
      <c r="S34" s="165">
        <f>IF(AND(S28&gt;Q28,$AK8&gt;5,$AK7&gt;3,ISNUMBER(Q28),ISNUMBER(S28)),1,0)</f>
        <v>0</v>
      </c>
      <c r="T34" s="164">
        <f>IF(AND(T28&gt;V28,$AK8&gt;6,$AK7&gt;3,ISNUMBER(T28),ISNUMBER(V28)),1,0)</f>
        <v>0</v>
      </c>
      <c r="U34" s="164"/>
      <c r="V34" s="165">
        <f>IF(AND(V28&gt;T28,$AK8&gt;6,$AK7&gt;3,ISNUMBER(T28),ISNUMBER(V28)),1,0)</f>
        <v>0</v>
      </c>
      <c r="W34" s="164">
        <f>IF(AND(W28&gt;Y28,$AK8&gt;7,$AK7&gt;3,ISNUMBER(W28),ISNUMBER(Y28)),1,0)</f>
        <v>0</v>
      </c>
      <c r="X34" s="164"/>
      <c r="Y34" s="165">
        <f>IF(AND(Y28&gt;W28,$AK8&gt;7,$AK7&gt;3,ISNUMBER(W28),ISNUMBER(Y28)),1,0)</f>
        <v>0</v>
      </c>
      <c r="Z34" s="164">
        <f>IF(AND(Z28&gt;AB28,$AK8&gt;8,$AK7&gt;3,ISNUMBER(Z28),ISNUMBER(AB28)),1,0)</f>
        <v>0</v>
      </c>
      <c r="AA34" s="164"/>
      <c r="AB34" s="165">
        <f>IF(AND(AB28&gt;Z28,$AK8&gt;8,$AK7&gt;3,ISNUMBER(Z28),ISNUMBER(AB28)),1,0)</f>
        <v>0</v>
      </c>
      <c r="AC34" s="164">
        <f>IF(AND(AC28&gt;AE28,$AK8&gt;9,$AK7&gt;3,ISNUMBER(AC28),ISNUMBER(AE28)),1,0)</f>
        <v>0</v>
      </c>
      <c r="AD34" s="164"/>
      <c r="AE34" s="165">
        <f>IF(AND(AE28&gt;AC28,$AK8&gt;9,$AK7&gt;3,ISNUMBER(AC28),ISNUMBER(AE28)),1,0)</f>
        <v>0</v>
      </c>
      <c r="AT34" s="513"/>
      <c r="AU34" s="513"/>
      <c r="AV34" s="513"/>
      <c r="AW34" s="514"/>
      <c r="AX34" s="513"/>
      <c r="AY34" s="513"/>
    </row>
    <row r="35" spans="1:51" s="115" customFormat="1" ht="12.75" hidden="1" customHeight="1">
      <c r="A35" s="115" t="s">
        <v>205</v>
      </c>
      <c r="B35" s="164">
        <f>IF(AND(B29&gt;D29,$AK8&gt;0,$AK7&gt;4,ISNUMBER(B29),ISNUMBER(D29)),1,0)</f>
        <v>0</v>
      </c>
      <c r="C35" s="164"/>
      <c r="D35" s="165">
        <f>IF(AND(D29&gt;B29,$AK8&gt;0,$AK7&gt;4,ISNUMBER(B29),ISNUMBER(D29)),1,0)</f>
        <v>0</v>
      </c>
      <c r="E35" s="164">
        <f>IF(AND(E29&gt;G29,$AK8&gt;1,$AK7&gt;4,ISNUMBER(E29),ISNUMBER(G29)),1,0)</f>
        <v>0</v>
      </c>
      <c r="F35" s="164"/>
      <c r="G35" s="165">
        <f>IF(AND(G29&gt;E29,$AK8&gt;1,$AK7&gt;4,ISNUMBER(E29),ISNUMBER(G29)),1,0)</f>
        <v>0</v>
      </c>
      <c r="H35" s="164">
        <f>IF(AND(H29&gt;J29,$AK8&gt;2,$AK7&gt;4,ISNUMBER(H29),ISNUMBER(J29)),1,0)</f>
        <v>0</v>
      </c>
      <c r="I35" s="164"/>
      <c r="J35" s="165">
        <f>IF(AND(J29&gt;H29,$AK8&gt;2,$AK7&gt;4,ISNUMBER(H29),ISNUMBER(J29)),1,0)</f>
        <v>0</v>
      </c>
      <c r="K35" s="164">
        <f>IF(AND(K29&gt;M29,$AK8&gt;3,$AK7&gt;4,ISNUMBER(K29),ISNUMBER(M29)),1,0)</f>
        <v>0</v>
      </c>
      <c r="L35" s="164"/>
      <c r="M35" s="165">
        <f>IF(AND(M29&gt;K29,$AK8&gt;3,$AK7&gt;4,ISNUMBER(K29),ISNUMBER(M29)),1,0)</f>
        <v>0</v>
      </c>
      <c r="N35" s="164">
        <f>IF(AND(N29&gt;P29,$AK8&gt;4,$AK7&gt;4,ISNUMBER(N29),ISNUMBER(P29)),1,0)</f>
        <v>0</v>
      </c>
      <c r="O35" s="164"/>
      <c r="P35" s="165">
        <f>IF(AND(P29&gt;N29,$AK8&gt;4,$AK7&gt;4,ISNUMBER(N29),ISNUMBER(P29)),1,0)</f>
        <v>0</v>
      </c>
      <c r="Q35" s="164">
        <f>IF(AND(Q29&gt;S29,$AK8&gt;5,$AK7&gt;4,ISNUMBER(Q29),ISNUMBER(S29)),1,0)</f>
        <v>0</v>
      </c>
      <c r="R35" s="164"/>
      <c r="S35" s="165">
        <f>IF(AND(S29&gt;Q29,$AK8&gt;5,$AK7&gt;4,ISNUMBER(Q29),ISNUMBER(S29)),1,0)</f>
        <v>0</v>
      </c>
      <c r="T35" s="164">
        <f>IF(AND(T29&gt;V29,$AK8&gt;6,$AK7&gt;4,ISNUMBER(T29),ISNUMBER(V29)),1,0)</f>
        <v>0</v>
      </c>
      <c r="U35" s="164"/>
      <c r="V35" s="165">
        <f>IF(AND(V29&gt;T29,$AK8&gt;6,$AK7&gt;4,ISNUMBER(T29),ISNUMBER(V29)),1,0)</f>
        <v>0</v>
      </c>
      <c r="W35" s="164">
        <f>IF(AND(W29&gt;Y29,$AK8&gt;7,$AK7&gt;4,ISNUMBER(W29),ISNUMBER(Y29)),1,0)</f>
        <v>0</v>
      </c>
      <c r="X35" s="164"/>
      <c r="Y35" s="165">
        <f>IF(AND(Y29&gt;W29,$AK8&gt;7,$AK7&gt;4,ISNUMBER(W29),ISNUMBER(Y29)),1,0)</f>
        <v>0</v>
      </c>
      <c r="Z35" s="164">
        <f>IF(AND(Z29&gt;AB29,$AK8&gt;8,$AK7&gt;4,ISNUMBER(Z29),ISNUMBER(AB29)),1,0)</f>
        <v>0</v>
      </c>
      <c r="AA35" s="164"/>
      <c r="AB35" s="165">
        <f>IF(AND(AB29&gt;Z29,$AK8&gt;8,$AK7&gt;4,ISNUMBER(Z29),ISNUMBER(AB29)),1,0)</f>
        <v>0</v>
      </c>
      <c r="AC35" s="164">
        <f>IF(AND(AC29&gt;AE29,$AK8&gt;9,$AK7&gt;4,ISNUMBER(AC29),ISNUMBER(AE29)),1,0)</f>
        <v>0</v>
      </c>
      <c r="AD35" s="164"/>
      <c r="AE35" s="165">
        <f>IF(AND(AE29&gt;AC29,$AK8&gt;9,$AK7&gt;4,ISNUMBER(AC29),ISNUMBER(AE29)),1,0)</f>
        <v>0</v>
      </c>
      <c r="AT35" s="513"/>
      <c r="AU35" s="513"/>
      <c r="AV35" s="513"/>
      <c r="AW35" s="514"/>
      <c r="AX35" s="513"/>
      <c r="AY35" s="513"/>
    </row>
    <row r="36" spans="1:51" s="115" customFormat="1" ht="38.25" hidden="1" customHeight="1">
      <c r="A36" s="167" t="s">
        <v>206</v>
      </c>
      <c r="B36" s="115">
        <f>SUM(B31:B35)</f>
        <v>0</v>
      </c>
      <c r="D36" s="168">
        <f>SUM(D31:D35)</f>
        <v>2</v>
      </c>
      <c r="E36" s="115">
        <f>SUM(E31:E35)</f>
        <v>2</v>
      </c>
      <c r="G36" s="168">
        <f>SUM(G31:G35)</f>
        <v>0</v>
      </c>
      <c r="H36" s="115">
        <f>SUM(H31:H35)</f>
        <v>2</v>
      </c>
      <c r="J36" s="168">
        <f>SUM(J31:J35)</f>
        <v>0</v>
      </c>
      <c r="K36" s="115">
        <f>SUM(K31:K35)</f>
        <v>0</v>
      </c>
      <c r="M36" s="168">
        <f>SUM(M31:M35)</f>
        <v>0</v>
      </c>
      <c r="N36" s="115">
        <f>SUM(N31:N35)</f>
        <v>0</v>
      </c>
      <c r="P36" s="168">
        <f>SUM(P31:P35)</f>
        <v>0</v>
      </c>
      <c r="Q36" s="115">
        <f>SUM(Q31:Q35)</f>
        <v>0</v>
      </c>
      <c r="S36" s="168">
        <f>SUM(S31:S35)</f>
        <v>0</v>
      </c>
      <c r="T36" s="115">
        <f>SUM(T31:T35)</f>
        <v>0</v>
      </c>
      <c r="V36" s="168">
        <f>SUM(V31:V35)</f>
        <v>0</v>
      </c>
      <c r="W36" s="115">
        <f>SUM(W31:W35)</f>
        <v>0</v>
      </c>
      <c r="Y36" s="168">
        <f>SUM(Y31:Y35)</f>
        <v>0</v>
      </c>
      <c r="Z36" s="115">
        <f>SUM(Z31:Z35)</f>
        <v>0</v>
      </c>
      <c r="AB36" s="168">
        <f>SUM(AB31:AB35)</f>
        <v>0</v>
      </c>
      <c r="AC36" s="115">
        <f>SUM(AC31:AC35)</f>
        <v>0</v>
      </c>
      <c r="AE36" s="168">
        <f>SUM(AE31:AE35)</f>
        <v>0</v>
      </c>
      <c r="AT36" s="513"/>
      <c r="AU36" s="513"/>
      <c r="AV36" s="513"/>
      <c r="AW36" s="514"/>
      <c r="AX36" s="513"/>
      <c r="AY36" s="513"/>
    </row>
    <row r="37" spans="1:51" s="115" customFormat="1" ht="25.5" hidden="1" customHeight="1">
      <c r="A37" s="167" t="s">
        <v>207</v>
      </c>
      <c r="B37" s="115">
        <f>IF(B36&gt;D36,IF(C71=AK7,1,IF(C71=AK7-1,1,0)),0)</f>
        <v>0</v>
      </c>
      <c r="C37" s="115">
        <f>B37+D37</f>
        <v>1</v>
      </c>
      <c r="D37" s="168">
        <f>IF(D36&gt;B36,IF(C71=AK7,1,IF(C71=AK7-1,1,0)),0)</f>
        <v>1</v>
      </c>
      <c r="E37" s="115">
        <f>IF(E36&gt;G36,IF(F71=AK7,1,IF(F71=AK7-1,1,0)),0)</f>
        <v>1</v>
      </c>
      <c r="F37" s="115">
        <f>E37+G37</f>
        <v>1</v>
      </c>
      <c r="G37" s="168">
        <f>IF(G36&gt;E36,IF(F71=AK7,1,IF(F71=AK7-1,1,0)),0)</f>
        <v>0</v>
      </c>
      <c r="H37" s="115">
        <f>IF(H36&gt;J36,IF(I71=AK7,1,IF(I71=AK7-1,1,0)),0)</f>
        <v>1</v>
      </c>
      <c r="I37" s="115">
        <f>H37+J37</f>
        <v>1</v>
      </c>
      <c r="J37" s="168">
        <f>IF(J36&gt;H36,IF(I71=AK7,1,IF(I71=AK7-1,1,0)),0)</f>
        <v>0</v>
      </c>
      <c r="K37" s="115">
        <f>IF(K36&gt;M36,IF(L71=AK7,1,IF(L71=AK7-1,1,0)),0)</f>
        <v>0</v>
      </c>
      <c r="L37" s="115">
        <f>K37+M37</f>
        <v>0</v>
      </c>
      <c r="M37" s="168">
        <f>IF(M36&gt;K36,IF(L71=AK7,1,IF(L71=AK7-1,1,0)),0)</f>
        <v>0</v>
      </c>
      <c r="N37" s="115">
        <f>IF(N36&gt;P36,IF(O71=AK7,1,IF(O71=AK7-1,1,0)),0)</f>
        <v>0</v>
      </c>
      <c r="O37" s="115">
        <f>N37+P37</f>
        <v>0</v>
      </c>
      <c r="P37" s="168">
        <f>IF(P36&gt;N36,IF(O71=AK7,1,IF(O71=AK7-1,1,0)),0)</f>
        <v>0</v>
      </c>
      <c r="Q37" s="115">
        <f>IF(Q36&gt;S36,IF(R71=AK7,1,IF(R71=AK7-1,1,0)),0)</f>
        <v>0</v>
      </c>
      <c r="R37" s="115">
        <f>Q37+S37</f>
        <v>0</v>
      </c>
      <c r="S37" s="168">
        <f>IF(S36&gt;Q36,IF(R71=AK7,1,IF(R71=AK7-1,1,0)),0)</f>
        <v>0</v>
      </c>
      <c r="T37" s="115">
        <f>IF(T36&gt;V36,IF(U71=AK7,1,IF(U71=AK7-1,1,0)),0)</f>
        <v>0</v>
      </c>
      <c r="U37" s="115">
        <f>T37+V37</f>
        <v>0</v>
      </c>
      <c r="V37" s="168">
        <f>IF(V36&gt;T36,IF(U71=AK7,1,IF(U71=AK7-1,1,0)),0)</f>
        <v>0</v>
      </c>
      <c r="W37" s="115">
        <f>IF(W36&gt;Y36,IF(X71=AK7,1,IF(X71=AK7-1,1,0)),0)</f>
        <v>0</v>
      </c>
      <c r="X37" s="115">
        <f>W37+Y37</f>
        <v>0</v>
      </c>
      <c r="Y37" s="168">
        <f>IF(Y36&gt;W36,IF(X71=AK7,1,IF(X71=AK7-1,1,0)),0)</f>
        <v>0</v>
      </c>
      <c r="Z37" s="115">
        <f>IF(Z36&gt;AB36,IF(AA71=AK7,1,IF(AA71=AK7-1,1,0)),0)</f>
        <v>0</v>
      </c>
      <c r="AA37" s="115">
        <f>Z37+AB37</f>
        <v>0</v>
      </c>
      <c r="AB37" s="168">
        <f>IF(AB36&gt;Z36,IF(AA71=AK7,1,IF(AA71=AK7-1,1,0)),0)</f>
        <v>0</v>
      </c>
      <c r="AC37" s="115">
        <f>IF(AC36&gt;AE36,IF(AD71=AK7,1,IF(AD71=AK7-1,1,0)),0)</f>
        <v>0</v>
      </c>
      <c r="AD37" s="115">
        <f>AC37+AE37</f>
        <v>0</v>
      </c>
      <c r="AE37" s="168">
        <f>IF(AE36&gt;AC36,IF(AD71=AK7,1,IF(AD71=AK7-1,1,0)),0)</f>
        <v>0</v>
      </c>
      <c r="AT37" s="513"/>
      <c r="AU37" s="513"/>
      <c r="AV37" s="513"/>
      <c r="AW37" s="514"/>
      <c r="AX37" s="513"/>
      <c r="AY37" s="513"/>
    </row>
    <row r="38" spans="1:51" s="115" customFormat="1" ht="25.5" hidden="1" customHeight="1">
      <c r="A38" s="167"/>
      <c r="D38" s="168"/>
      <c r="G38" s="168"/>
      <c r="J38" s="168"/>
      <c r="M38" s="168"/>
      <c r="P38" s="168"/>
      <c r="S38" s="168"/>
      <c r="V38" s="168"/>
      <c r="Y38" s="168"/>
      <c r="AB38" s="168"/>
      <c r="AE38" s="168"/>
      <c r="AT38" s="513"/>
      <c r="AU38" s="513"/>
      <c r="AV38" s="513"/>
      <c r="AW38" s="514"/>
      <c r="AX38" s="513"/>
      <c r="AY38" s="513"/>
    </row>
    <row r="39" spans="1:51" s="115" customFormat="1" ht="12.75" hidden="1" customHeight="1">
      <c r="A39" s="115" t="s">
        <v>208</v>
      </c>
      <c r="B39" s="115">
        <f>IF(B31=1,B25,0)</f>
        <v>0</v>
      </c>
      <c r="D39" s="168">
        <f t="shared" ref="D39:E43" si="2">IF(D31=1,D25,0)</f>
        <v>21</v>
      </c>
      <c r="E39" s="115">
        <f t="shared" si="2"/>
        <v>23</v>
      </c>
      <c r="G39" s="168">
        <f t="shared" ref="G39:H43" si="3">IF(G31=1,G25,0)</f>
        <v>0</v>
      </c>
      <c r="H39" s="115">
        <f t="shared" si="3"/>
        <v>22</v>
      </c>
      <c r="J39" s="168">
        <f t="shared" ref="J39:K43" si="4">IF(J31=1,J25,0)</f>
        <v>0</v>
      </c>
      <c r="K39" s="115">
        <f t="shared" si="4"/>
        <v>0</v>
      </c>
      <c r="M39" s="168">
        <f t="shared" ref="M39:N43" si="5">IF(M31=1,M25,0)</f>
        <v>0</v>
      </c>
      <c r="N39" s="115">
        <f t="shared" si="5"/>
        <v>0</v>
      </c>
      <c r="P39" s="168">
        <f t="shared" ref="P39:Q43" si="6">IF(P31=1,P25,0)</f>
        <v>0</v>
      </c>
      <c r="Q39" s="115">
        <f t="shared" si="6"/>
        <v>0</v>
      </c>
      <c r="S39" s="168">
        <f t="shared" ref="S39:T43" si="7">IF(S31=1,S25,0)</f>
        <v>0</v>
      </c>
      <c r="T39" s="115">
        <f t="shared" si="7"/>
        <v>0</v>
      </c>
      <c r="V39" s="168">
        <f t="shared" ref="V39:W43" si="8">IF(V31=1,V25,0)</f>
        <v>0</v>
      </c>
      <c r="W39" s="115">
        <f t="shared" si="8"/>
        <v>0</v>
      </c>
      <c r="Y39" s="168">
        <f t="shared" ref="Y39:Z43" si="9">IF(Y31=1,Y25,0)</f>
        <v>0</v>
      </c>
      <c r="Z39" s="115">
        <f t="shared" si="9"/>
        <v>0</v>
      </c>
      <c r="AB39" s="168">
        <f t="shared" ref="AB39:AC43" si="10">IF(AB31=1,AB25,0)</f>
        <v>0</v>
      </c>
      <c r="AC39" s="115">
        <f t="shared" si="10"/>
        <v>0</v>
      </c>
      <c r="AE39" s="168">
        <f>IF(AE31=1,AE25,0)</f>
        <v>0</v>
      </c>
      <c r="AT39" s="513"/>
      <c r="AU39" s="513"/>
      <c r="AV39" s="513"/>
      <c r="AW39" s="514"/>
      <c r="AX39" s="513"/>
      <c r="AY39" s="513"/>
    </row>
    <row r="40" spans="1:51" s="115" customFormat="1" ht="12.75" hidden="1" customHeight="1">
      <c r="A40" s="115" t="s">
        <v>209</v>
      </c>
      <c r="B40" s="115">
        <f>IF(B32=1,B26,0)</f>
        <v>0</v>
      </c>
      <c r="D40" s="168">
        <f t="shared" si="2"/>
        <v>27</v>
      </c>
      <c r="E40" s="115">
        <f t="shared" si="2"/>
        <v>21</v>
      </c>
      <c r="G40" s="168">
        <f t="shared" si="3"/>
        <v>0</v>
      </c>
      <c r="H40" s="115">
        <f t="shared" si="3"/>
        <v>22</v>
      </c>
      <c r="J40" s="168">
        <f t="shared" si="4"/>
        <v>0</v>
      </c>
      <c r="K40" s="115">
        <f t="shared" si="4"/>
        <v>0</v>
      </c>
      <c r="M40" s="168">
        <f t="shared" si="5"/>
        <v>0</v>
      </c>
      <c r="N40" s="115">
        <f t="shared" si="5"/>
        <v>0</v>
      </c>
      <c r="P40" s="168">
        <f t="shared" si="6"/>
        <v>0</v>
      </c>
      <c r="Q40" s="115">
        <f t="shared" si="6"/>
        <v>0</v>
      </c>
      <c r="S40" s="168">
        <f t="shared" si="7"/>
        <v>0</v>
      </c>
      <c r="T40" s="115">
        <f t="shared" si="7"/>
        <v>0</v>
      </c>
      <c r="V40" s="168">
        <f t="shared" si="8"/>
        <v>0</v>
      </c>
      <c r="W40" s="115">
        <f t="shared" si="8"/>
        <v>0</v>
      </c>
      <c r="Y40" s="168">
        <f t="shared" si="9"/>
        <v>0</v>
      </c>
      <c r="Z40" s="115">
        <f t="shared" si="9"/>
        <v>0</v>
      </c>
      <c r="AB40" s="168">
        <f t="shared" si="10"/>
        <v>0</v>
      </c>
      <c r="AC40" s="115">
        <f t="shared" si="10"/>
        <v>0</v>
      </c>
      <c r="AE40" s="168">
        <f>IF(AE32=1,AE26,0)</f>
        <v>0</v>
      </c>
      <c r="AT40" s="513"/>
      <c r="AU40" s="513"/>
      <c r="AV40" s="513"/>
      <c r="AW40" s="514"/>
      <c r="AX40" s="513"/>
      <c r="AY40" s="513"/>
    </row>
    <row r="41" spans="1:51" s="115" customFormat="1" ht="12.75" hidden="1" customHeight="1">
      <c r="A41" s="115" t="s">
        <v>210</v>
      </c>
      <c r="B41" s="115">
        <f>IF(B33=1,B27,0)</f>
        <v>0</v>
      </c>
      <c r="D41" s="168">
        <f t="shared" si="2"/>
        <v>0</v>
      </c>
      <c r="E41" s="115">
        <f t="shared" si="2"/>
        <v>0</v>
      </c>
      <c r="G41" s="168">
        <f t="shared" si="3"/>
        <v>0</v>
      </c>
      <c r="H41" s="115">
        <f t="shared" si="3"/>
        <v>0</v>
      </c>
      <c r="J41" s="168">
        <f t="shared" si="4"/>
        <v>0</v>
      </c>
      <c r="K41" s="115">
        <f t="shared" si="4"/>
        <v>0</v>
      </c>
      <c r="M41" s="168">
        <f t="shared" si="5"/>
        <v>0</v>
      </c>
      <c r="N41" s="115">
        <f t="shared" si="5"/>
        <v>0</v>
      </c>
      <c r="P41" s="168">
        <f t="shared" si="6"/>
        <v>0</v>
      </c>
      <c r="Q41" s="115">
        <f t="shared" si="6"/>
        <v>0</v>
      </c>
      <c r="S41" s="168">
        <f t="shared" si="7"/>
        <v>0</v>
      </c>
      <c r="T41" s="115">
        <f t="shared" si="7"/>
        <v>0</v>
      </c>
      <c r="V41" s="168">
        <f t="shared" si="8"/>
        <v>0</v>
      </c>
      <c r="W41" s="115">
        <f t="shared" si="8"/>
        <v>0</v>
      </c>
      <c r="Y41" s="168">
        <f t="shared" si="9"/>
        <v>0</v>
      </c>
      <c r="Z41" s="115">
        <f t="shared" si="9"/>
        <v>0</v>
      </c>
      <c r="AB41" s="168">
        <f t="shared" si="10"/>
        <v>0</v>
      </c>
      <c r="AC41" s="115">
        <f t="shared" si="10"/>
        <v>0</v>
      </c>
      <c r="AE41" s="168">
        <f>IF(AE33=1,AE27,0)</f>
        <v>0</v>
      </c>
      <c r="AT41" s="513"/>
      <c r="AU41" s="513"/>
      <c r="AV41" s="513"/>
      <c r="AW41" s="514"/>
      <c r="AX41" s="513"/>
      <c r="AY41" s="513"/>
    </row>
    <row r="42" spans="1:51" s="115" customFormat="1" ht="12.75" hidden="1" customHeight="1">
      <c r="A42" s="115" t="s">
        <v>211</v>
      </c>
      <c r="B42" s="115">
        <f>IF(B34=1,B28,0)</f>
        <v>0</v>
      </c>
      <c r="D42" s="168">
        <f t="shared" si="2"/>
        <v>0</v>
      </c>
      <c r="E42" s="115">
        <f t="shared" si="2"/>
        <v>0</v>
      </c>
      <c r="G42" s="168">
        <f t="shared" si="3"/>
        <v>0</v>
      </c>
      <c r="H42" s="115">
        <f t="shared" si="3"/>
        <v>0</v>
      </c>
      <c r="J42" s="168">
        <f t="shared" si="4"/>
        <v>0</v>
      </c>
      <c r="K42" s="115">
        <f t="shared" si="4"/>
        <v>0</v>
      </c>
      <c r="M42" s="168">
        <f t="shared" si="5"/>
        <v>0</v>
      </c>
      <c r="N42" s="115">
        <f t="shared" si="5"/>
        <v>0</v>
      </c>
      <c r="P42" s="168">
        <f t="shared" si="6"/>
        <v>0</v>
      </c>
      <c r="Q42" s="115">
        <f t="shared" si="6"/>
        <v>0</v>
      </c>
      <c r="S42" s="168">
        <f t="shared" si="7"/>
        <v>0</v>
      </c>
      <c r="T42" s="115">
        <f t="shared" si="7"/>
        <v>0</v>
      </c>
      <c r="V42" s="168">
        <f t="shared" si="8"/>
        <v>0</v>
      </c>
      <c r="W42" s="115">
        <f t="shared" si="8"/>
        <v>0</v>
      </c>
      <c r="Y42" s="168">
        <f t="shared" si="9"/>
        <v>0</v>
      </c>
      <c r="Z42" s="115">
        <f t="shared" si="9"/>
        <v>0</v>
      </c>
      <c r="AB42" s="168">
        <f t="shared" si="10"/>
        <v>0</v>
      </c>
      <c r="AC42" s="115">
        <f t="shared" si="10"/>
        <v>0</v>
      </c>
      <c r="AE42" s="168">
        <f>IF(AE34=1,AE28,0)</f>
        <v>0</v>
      </c>
      <c r="AT42" s="513"/>
      <c r="AU42" s="513"/>
      <c r="AV42" s="513"/>
      <c r="AW42" s="514"/>
      <c r="AX42" s="513"/>
      <c r="AY42" s="513"/>
    </row>
    <row r="43" spans="1:51" s="115" customFormat="1" ht="12.75" hidden="1" customHeight="1">
      <c r="A43" s="115" t="s">
        <v>212</v>
      </c>
      <c r="B43" s="115">
        <f>IF(B35=1,B29,0)</f>
        <v>0</v>
      </c>
      <c r="D43" s="168">
        <f t="shared" si="2"/>
        <v>0</v>
      </c>
      <c r="E43" s="115">
        <f t="shared" si="2"/>
        <v>0</v>
      </c>
      <c r="G43" s="168">
        <f t="shared" si="3"/>
        <v>0</v>
      </c>
      <c r="H43" s="115">
        <f t="shared" si="3"/>
        <v>0</v>
      </c>
      <c r="J43" s="168">
        <f t="shared" si="4"/>
        <v>0</v>
      </c>
      <c r="K43" s="115">
        <f t="shared" si="4"/>
        <v>0</v>
      </c>
      <c r="M43" s="168">
        <f t="shared" si="5"/>
        <v>0</v>
      </c>
      <c r="N43" s="115">
        <f t="shared" si="5"/>
        <v>0</v>
      </c>
      <c r="P43" s="168">
        <f t="shared" si="6"/>
        <v>0</v>
      </c>
      <c r="Q43" s="115">
        <f t="shared" si="6"/>
        <v>0</v>
      </c>
      <c r="S43" s="168">
        <f t="shared" si="7"/>
        <v>0</v>
      </c>
      <c r="T43" s="115">
        <f t="shared" si="7"/>
        <v>0</v>
      </c>
      <c r="V43" s="168">
        <f t="shared" si="8"/>
        <v>0</v>
      </c>
      <c r="W43" s="115">
        <f t="shared" si="8"/>
        <v>0</v>
      </c>
      <c r="Y43" s="168">
        <f t="shared" si="9"/>
        <v>0</v>
      </c>
      <c r="Z43" s="115">
        <f t="shared" si="9"/>
        <v>0</v>
      </c>
      <c r="AB43" s="168">
        <f t="shared" si="10"/>
        <v>0</v>
      </c>
      <c r="AC43" s="115">
        <f t="shared" si="10"/>
        <v>0</v>
      </c>
      <c r="AE43" s="168">
        <f>IF(AE35=1,AE29,0)</f>
        <v>0</v>
      </c>
      <c r="AT43" s="513"/>
      <c r="AU43" s="513"/>
      <c r="AV43" s="513"/>
      <c r="AW43" s="514"/>
      <c r="AX43" s="513"/>
      <c r="AY43" s="513"/>
    </row>
    <row r="44" spans="1:51" s="115" customFormat="1" ht="38.25" hidden="1" customHeight="1">
      <c r="A44" s="167" t="s">
        <v>213</v>
      </c>
      <c r="B44" s="115">
        <f>SUM(B39:D43)</f>
        <v>48</v>
      </c>
      <c r="D44" s="168"/>
      <c r="E44" s="115">
        <f>SUM(E39:G43)</f>
        <v>44</v>
      </c>
      <c r="G44" s="168"/>
      <c r="H44" s="115">
        <f>SUM(H39:J43)</f>
        <v>44</v>
      </c>
      <c r="J44" s="168"/>
      <c r="K44" s="115">
        <f>SUM(K39:M43)</f>
        <v>0</v>
      </c>
      <c r="M44" s="168"/>
      <c r="N44" s="115">
        <f>SUM(N39:P43)</f>
        <v>0</v>
      </c>
      <c r="P44" s="168"/>
      <c r="Q44" s="115">
        <f>SUM(Q39:S43)</f>
        <v>0</v>
      </c>
      <c r="S44" s="168"/>
      <c r="T44" s="115">
        <f>SUM(T39:V43)</f>
        <v>0</v>
      </c>
      <c r="V44" s="168"/>
      <c r="W44" s="115">
        <f>SUM(W39:Y43)</f>
        <v>0</v>
      </c>
      <c r="Y44" s="168"/>
      <c r="Z44" s="115">
        <f>SUM(Z39:AB43)</f>
        <v>0</v>
      </c>
      <c r="AB44" s="168"/>
      <c r="AC44" s="115">
        <f>SUM(AC39:AE43)</f>
        <v>0</v>
      </c>
      <c r="AE44" s="168"/>
      <c r="AT44" s="513"/>
      <c r="AU44" s="513"/>
      <c r="AV44" s="513"/>
      <c r="AW44" s="514"/>
      <c r="AX44" s="513"/>
      <c r="AY44" s="513"/>
    </row>
    <row r="45" spans="1:51" s="115" customFormat="1" ht="38.25" hidden="1" customHeight="1">
      <c r="A45" s="115" t="s">
        <v>214</v>
      </c>
      <c r="D45" s="168"/>
      <c r="G45" s="168"/>
      <c r="J45" s="168"/>
      <c r="M45" s="168"/>
      <c r="P45" s="168"/>
      <c r="S45" s="168"/>
      <c r="V45" s="168"/>
      <c r="Y45" s="168"/>
      <c r="AB45" s="168"/>
      <c r="AE45" s="168"/>
      <c r="AF45" s="167" t="s">
        <v>215</v>
      </c>
      <c r="AG45" s="115" t="s">
        <v>216</v>
      </c>
      <c r="AT45" s="513"/>
      <c r="AU45" s="513"/>
      <c r="AV45" s="513"/>
      <c r="AW45" s="514"/>
      <c r="AX45" s="513"/>
      <c r="AY45" s="513"/>
    </row>
    <row r="46" spans="1:51" s="115" customFormat="1" ht="12.75" hidden="1" customHeight="1">
      <c r="A46" s="115" t="s">
        <v>38</v>
      </c>
      <c r="B46" s="115">
        <f>IF(B24=1,IF(B37=1,1,0),0)</f>
        <v>0</v>
      </c>
      <c r="D46" s="168">
        <f>IF(D24=1,IF(D37=1,1,0),0)</f>
        <v>0</v>
      </c>
      <c r="E46" s="115">
        <f>IF(E24=1,IF(E37=1,1,0),0)</f>
        <v>0</v>
      </c>
      <c r="G46" s="168">
        <f>IF(G24=1,IF(G37=1,1,0),0)</f>
        <v>0</v>
      </c>
      <c r="H46" s="115">
        <f>IF(H24=1,IF(H37=1,1,0),0)</f>
        <v>1</v>
      </c>
      <c r="J46" s="168">
        <f>IF(J24=1,IF(J37=1,1,0),0)</f>
        <v>0</v>
      </c>
      <c r="K46" s="115">
        <f>IF(K24=1,IF(K37=1,1,0),0)</f>
        <v>0</v>
      </c>
      <c r="M46" s="168">
        <f>IF(M24=1,IF(M37=1,1,0),0)</f>
        <v>0</v>
      </c>
      <c r="N46" s="115">
        <f>IF(N24=1,IF(N37=1,1,0),0)</f>
        <v>0</v>
      </c>
      <c r="P46" s="168">
        <f>IF(P24=1,IF(P37=1,1,0),0)</f>
        <v>0</v>
      </c>
      <c r="Q46" s="115">
        <f>IF(Q24=1,IF(Q37=1,1,0),0)</f>
        <v>0</v>
      </c>
      <c r="S46" s="168">
        <f>IF(S24=1,IF(S37=1,1,0),0)</f>
        <v>0</v>
      </c>
      <c r="T46" s="115">
        <f>IF(T24=1,IF(T37=1,1,0),0)</f>
        <v>0</v>
      </c>
      <c r="V46" s="168">
        <f>IF(V24=1,IF(V37=1,1,0),0)</f>
        <v>0</v>
      </c>
      <c r="W46" s="115">
        <f>IF(W24=1,IF(W37=1,1,0),0)</f>
        <v>0</v>
      </c>
      <c r="Y46" s="168">
        <f>IF(Y24=1,IF(Y37=1,1,0),0)</f>
        <v>0</v>
      </c>
      <c r="Z46" s="115">
        <f>IF(Z24=1,IF(Z37=1,1,0),0)</f>
        <v>0</v>
      </c>
      <c r="AB46" s="168">
        <f>IF(AB24=1,IF(AB37=1,1,0),0)</f>
        <v>0</v>
      </c>
      <c r="AC46" s="115">
        <f>IF(AC24=1,IF(AC37=1,1,0),0)</f>
        <v>0</v>
      </c>
      <c r="AE46" s="168">
        <f>IF(AE24=1,IF(AE37=1,1,0),0)</f>
        <v>0</v>
      </c>
      <c r="AF46" s="115">
        <f>SUM(B46:AE46)</f>
        <v>1</v>
      </c>
      <c r="AG46" s="115">
        <f>AF52-AF46</f>
        <v>1</v>
      </c>
      <c r="AT46" s="513"/>
      <c r="AU46" s="513"/>
      <c r="AV46" s="513"/>
      <c r="AW46" s="514"/>
      <c r="AX46" s="513"/>
      <c r="AY46" s="513"/>
    </row>
    <row r="47" spans="1:51" s="115" customFormat="1" ht="12.75" hidden="1" customHeight="1">
      <c r="A47" s="115" t="s">
        <v>39</v>
      </c>
      <c r="B47" s="115">
        <f>IF(B24=2,IF(B37=1,1,0),0)</f>
        <v>0</v>
      </c>
      <c r="D47" s="168">
        <f>IF(D24=2,IF(D37=1,1,0),0)</f>
        <v>1</v>
      </c>
      <c r="E47" s="115">
        <f>IF(E24=2,IF(E37=1,1,0),0)</f>
        <v>1</v>
      </c>
      <c r="G47" s="168">
        <f>IF(G24=2,IF(G37=1,1,0),0)</f>
        <v>0</v>
      </c>
      <c r="H47" s="115">
        <f>IF(H24=2,IF(H37=1,1,0),0)</f>
        <v>0</v>
      </c>
      <c r="J47" s="168">
        <f>IF(J24=2,IF(J37=1,1,0),0)</f>
        <v>0</v>
      </c>
      <c r="K47" s="115">
        <f>IF(K24=2,IF(K37=1,1,0),0)</f>
        <v>0</v>
      </c>
      <c r="M47" s="168">
        <f>IF(M24=2,IF(M37=1,1,0),0)</f>
        <v>0</v>
      </c>
      <c r="N47" s="115">
        <f>IF(N24=2,IF(N37=1,1,0),0)</f>
        <v>0</v>
      </c>
      <c r="P47" s="168">
        <f>IF(P24=2,IF(P37=1,1,0),0)</f>
        <v>0</v>
      </c>
      <c r="Q47" s="115">
        <f>IF(Q24=2,IF(Q37=1,1,0),0)</f>
        <v>0</v>
      </c>
      <c r="S47" s="168">
        <f>IF(S24=2,IF(S37=1,1,0),0)</f>
        <v>0</v>
      </c>
      <c r="T47" s="115">
        <f>IF(T24=2,IF(T37=1,1,0),0)</f>
        <v>0</v>
      </c>
      <c r="V47" s="168">
        <f>IF(V24=2,IF(V37=1,1,0),0)</f>
        <v>0</v>
      </c>
      <c r="W47" s="115">
        <f>IF(W24=2,IF(W37=1,1,0),0)</f>
        <v>0</v>
      </c>
      <c r="Y47" s="168">
        <f>IF(Y24=2,IF(Y37=1,1,0),0)</f>
        <v>0</v>
      </c>
      <c r="Z47" s="115">
        <f>IF(Z24=2,IF(Z37=1,1,0),0)</f>
        <v>0</v>
      </c>
      <c r="AB47" s="168">
        <f>IF(AB24=2,IF(AB37=1,1,0),0)</f>
        <v>0</v>
      </c>
      <c r="AC47" s="115">
        <f>IF(AC24=2,IF(AC37=1,1,0),0)</f>
        <v>0</v>
      </c>
      <c r="AE47" s="168">
        <f>IF(AE24=2,IF(AE37=1,1,0),0)</f>
        <v>0</v>
      </c>
      <c r="AF47" s="115">
        <f>SUM(B47:AE47)</f>
        <v>2</v>
      </c>
      <c r="AG47" s="115">
        <f>AF53-AF47</f>
        <v>0</v>
      </c>
      <c r="AT47" s="513"/>
      <c r="AU47" s="513"/>
      <c r="AV47" s="513"/>
      <c r="AW47" s="514"/>
      <c r="AX47" s="513"/>
      <c r="AY47" s="513"/>
    </row>
    <row r="48" spans="1:51" s="115" customFormat="1" ht="12.75" hidden="1" customHeight="1">
      <c r="A48" s="115" t="s">
        <v>40</v>
      </c>
      <c r="B48" s="115">
        <f>IF(B24=3,IF(B37=1,1,0),0)</f>
        <v>0</v>
      </c>
      <c r="D48" s="168">
        <f>IF(D24=3,IF(D37=1,1,0),0)</f>
        <v>0</v>
      </c>
      <c r="E48" s="115">
        <f>IF(E24=3,IF(E37=1,1,0),0)</f>
        <v>0</v>
      </c>
      <c r="G48" s="168">
        <f>IF(G24=3,IF(G37=1,1,0),0)</f>
        <v>0</v>
      </c>
      <c r="H48" s="115">
        <f>IF(H24=3,IF(H37=1,1,0),0)</f>
        <v>0</v>
      </c>
      <c r="J48" s="168">
        <f>IF(J24=3,IF(J37=1,1,0),0)</f>
        <v>0</v>
      </c>
      <c r="K48" s="115">
        <f>IF(K24=3,IF(K37=1,1,0),0)</f>
        <v>0</v>
      </c>
      <c r="M48" s="168">
        <f>IF(M24=3,IF(M37=1,1,0),0)</f>
        <v>0</v>
      </c>
      <c r="N48" s="115">
        <f>IF(N24=3,IF(N37=1,1,0),0)</f>
        <v>0</v>
      </c>
      <c r="P48" s="168">
        <f>IF(P24=3,IF(P37=1,1,0),0)</f>
        <v>0</v>
      </c>
      <c r="Q48" s="115">
        <f>IF(Q24=3,IF(Q37=1,1,0),0)</f>
        <v>0</v>
      </c>
      <c r="S48" s="168">
        <f>IF(S24=3,IF(S37=1,1,0),0)</f>
        <v>0</v>
      </c>
      <c r="T48" s="115">
        <f>IF(T24=3,IF(T37=1,1,0),0)</f>
        <v>0</v>
      </c>
      <c r="V48" s="168">
        <f>IF(V24=3,IF(V37=1,1,0),0)</f>
        <v>0</v>
      </c>
      <c r="W48" s="115">
        <f>IF(W24=3,IF(W37=1,1,0),0)</f>
        <v>0</v>
      </c>
      <c r="Y48" s="168">
        <f>IF(Y24=3,IF(Y37=1,1,0),0)</f>
        <v>0</v>
      </c>
      <c r="Z48" s="115">
        <f>IF(Z24=3,IF(Z37=1,1,0),0)</f>
        <v>0</v>
      </c>
      <c r="AB48" s="168">
        <f>IF(AB24=3,IF(AB37=1,1,0),0)</f>
        <v>0</v>
      </c>
      <c r="AC48" s="115">
        <f>IF(AC24=3,IF(AC37=1,1,0),0)</f>
        <v>0</v>
      </c>
      <c r="AE48" s="168">
        <f>IF(AE24=3,IF(AE37=1,1,0),0)</f>
        <v>0</v>
      </c>
      <c r="AF48" s="115">
        <f>SUM(B48:AE48)</f>
        <v>0</v>
      </c>
      <c r="AG48" s="115">
        <f>AF54-AF48</f>
        <v>2</v>
      </c>
      <c r="AT48" s="513"/>
      <c r="AU48" s="513"/>
      <c r="AV48" s="513"/>
      <c r="AW48" s="514"/>
      <c r="AX48" s="513"/>
      <c r="AY48" s="513"/>
    </row>
    <row r="49" spans="1:51" s="115" customFormat="1" ht="12.75" hidden="1" customHeight="1">
      <c r="A49" s="115" t="s">
        <v>41</v>
      </c>
      <c r="B49" s="115">
        <f>IF(B24=4,IF(B37=1,1,0),0)</f>
        <v>0</v>
      </c>
      <c r="D49" s="168">
        <f>IF(D24=4,IF(D37=1,1,0),0)</f>
        <v>0</v>
      </c>
      <c r="E49" s="115">
        <f>IF(E24=4,IF(E37=1,1,0),0)</f>
        <v>0</v>
      </c>
      <c r="G49" s="168">
        <f>IF(G24=4,IF(G37=1,1,0),0)</f>
        <v>0</v>
      </c>
      <c r="H49" s="115">
        <f>IF(H24=4,IF(H37=1,1,0),0)</f>
        <v>0</v>
      </c>
      <c r="J49" s="168">
        <f>IF(J24=4,IF(J37=1,1,0),0)</f>
        <v>0</v>
      </c>
      <c r="K49" s="115">
        <f>IF(K24=4,IF(K37=1,1,0),0)</f>
        <v>0</v>
      </c>
      <c r="M49" s="168">
        <f>IF(M24=4,IF(M37=1,1,0),0)</f>
        <v>0</v>
      </c>
      <c r="N49" s="115">
        <f>IF(N24=4,IF(N37=1,1,0),0)</f>
        <v>0</v>
      </c>
      <c r="P49" s="168">
        <f>IF(P24=4,IF(P37=1,1,0),0)</f>
        <v>0</v>
      </c>
      <c r="Q49" s="115">
        <f>IF(Q24=4,IF(Q37=1,1,0),0)</f>
        <v>0</v>
      </c>
      <c r="S49" s="168">
        <f>IF(S24=4,IF(S37=1,1,0),0)</f>
        <v>0</v>
      </c>
      <c r="T49" s="115">
        <f>IF(T24=4,IF(T37=1,1,0),0)</f>
        <v>0</v>
      </c>
      <c r="V49" s="168">
        <f>IF(V24=4,IF(V37=1,1,0),0)</f>
        <v>0</v>
      </c>
      <c r="W49" s="115">
        <f>IF(W24=4,IF(W37=1,1,0),0)</f>
        <v>0</v>
      </c>
      <c r="Y49" s="168">
        <f>IF(Y24=4,IF(Y37=1,1,0),0)</f>
        <v>0</v>
      </c>
      <c r="Z49" s="115">
        <f>IF(Z24=4,IF(Z37=1,1,0),0)</f>
        <v>0</v>
      </c>
      <c r="AB49" s="168">
        <f>IF(AB24=4,IF(AB37=1,1,0),0)</f>
        <v>0</v>
      </c>
      <c r="AC49" s="115">
        <f>IF(AC24=4,IF(AC37=1,1,0),0)</f>
        <v>0</v>
      </c>
      <c r="AE49" s="168">
        <f>IF(AE24=4,IF(AE37=1,1,0),0)</f>
        <v>0</v>
      </c>
      <c r="AF49" s="115">
        <f>SUM(B49:AE49)</f>
        <v>0</v>
      </c>
      <c r="AG49" s="115">
        <f>AF55-AF49</f>
        <v>0</v>
      </c>
      <c r="AT49" s="513"/>
      <c r="AU49" s="513"/>
      <c r="AV49" s="513"/>
      <c r="AW49" s="514"/>
      <c r="AX49" s="513"/>
      <c r="AY49" s="513"/>
    </row>
    <row r="50" spans="1:51" s="115" customFormat="1" ht="12.75" hidden="1" customHeight="1">
      <c r="A50" s="115" t="s">
        <v>42</v>
      </c>
      <c r="B50" s="115">
        <f>IF(B24=5,IF(B37=1,1,0),0)</f>
        <v>0</v>
      </c>
      <c r="D50" s="168">
        <f>IF(D24=5,IF(D37=1,1,0),0)</f>
        <v>0</v>
      </c>
      <c r="E50" s="115">
        <f>IF(E24=5,IF(E37=1,1,0),0)</f>
        <v>0</v>
      </c>
      <c r="G50" s="168">
        <f>IF(G24=5,IF(G37=1,1,0),0)</f>
        <v>0</v>
      </c>
      <c r="H50" s="115">
        <f>IF(H24=5,IF(H37=1,1,0),0)</f>
        <v>0</v>
      </c>
      <c r="J50" s="168">
        <f>IF(J24=5,IF(J37=1,1,0),0)</f>
        <v>0</v>
      </c>
      <c r="K50" s="115">
        <f>IF(K24=5,IF(K37=1,1,0),0)</f>
        <v>0</v>
      </c>
      <c r="M50" s="168">
        <f>IF(M24=5,IF(M37=1,1,0),0)</f>
        <v>0</v>
      </c>
      <c r="N50" s="115">
        <f>IF(N24=5,IF(N37=1,1,0),0)</f>
        <v>0</v>
      </c>
      <c r="P50" s="168">
        <f>IF(P24=5,IF(P37=1,1,0),0)</f>
        <v>0</v>
      </c>
      <c r="Q50" s="115">
        <f>IF(Q24=5,IF(Q37=1,1,0),0)</f>
        <v>0</v>
      </c>
      <c r="S50" s="168">
        <f>IF(S24=5,IF(S37=1,1,0),0)</f>
        <v>0</v>
      </c>
      <c r="T50" s="115">
        <f>IF(T24=5,IF(T37=1,1,0),0)</f>
        <v>0</v>
      </c>
      <c r="V50" s="168">
        <f>IF(V24=5,IF(V37=1,1,0),0)</f>
        <v>0</v>
      </c>
      <c r="W50" s="115">
        <f>IF(W24=5,IF(W37=1,1,0),0)</f>
        <v>0</v>
      </c>
      <c r="Y50" s="168">
        <f>IF(Y24=5,IF(Y37=1,1,0),0)</f>
        <v>0</v>
      </c>
      <c r="Z50" s="115">
        <f>IF(Z24=5,IF(Z37=1,1,0),0)</f>
        <v>0</v>
      </c>
      <c r="AB50" s="168">
        <f>IF(AB24=5,IF(AB37=1,1,0),0)</f>
        <v>0</v>
      </c>
      <c r="AC50" s="115">
        <f>IF(AC24=5,IF(AC37=1,1,0),0)</f>
        <v>0</v>
      </c>
      <c r="AE50" s="168">
        <f>IF(AE24=5,IF(AE37=1,1,0),0)</f>
        <v>0</v>
      </c>
      <c r="AF50" s="115">
        <f>SUM(B50:AE50)</f>
        <v>0</v>
      </c>
      <c r="AG50" s="115">
        <f>AF56-AF50</f>
        <v>0</v>
      </c>
      <c r="AT50" s="513"/>
      <c r="AU50" s="513"/>
      <c r="AV50" s="513"/>
      <c r="AW50" s="514"/>
      <c r="AX50" s="513"/>
      <c r="AY50" s="513"/>
    </row>
    <row r="51" spans="1:51" s="115" customFormat="1" ht="38.25" hidden="1" customHeight="1">
      <c r="A51" s="167"/>
      <c r="D51" s="168"/>
      <c r="G51" s="168"/>
      <c r="J51" s="168"/>
      <c r="M51" s="168"/>
      <c r="P51" s="168"/>
      <c r="S51" s="168"/>
      <c r="V51" s="168"/>
      <c r="Y51" s="168"/>
      <c r="AB51" s="168"/>
      <c r="AE51" s="168"/>
      <c r="AF51" s="167" t="s">
        <v>217</v>
      </c>
      <c r="AT51" s="513"/>
      <c r="AU51" s="513"/>
      <c r="AV51" s="513"/>
      <c r="AW51" s="514"/>
      <c r="AX51" s="513"/>
      <c r="AY51" s="513"/>
    </row>
    <row r="52" spans="1:51" s="115" customFormat="1" ht="12.75" hidden="1" customHeight="1">
      <c r="A52" s="115" t="s">
        <v>43</v>
      </c>
      <c r="B52" s="115">
        <f>IF(B24=1,IF(C37=1,1,0),0)</f>
        <v>1</v>
      </c>
      <c r="D52" s="168">
        <f>IF(D24=1,IF(C37=1,1,0),0)</f>
        <v>0</v>
      </c>
      <c r="E52" s="115">
        <f>IF(E24=1,IF(F37=1,1,0),0)</f>
        <v>0</v>
      </c>
      <c r="G52" s="168">
        <f>IF(G24=1,IF(F37=1,1,0),0)</f>
        <v>0</v>
      </c>
      <c r="H52" s="115">
        <f>IF(H24=1,IF(I37=1,1,0),0)</f>
        <v>1</v>
      </c>
      <c r="J52" s="168">
        <f>IF(J24=1,IF(I37=1,1,0),0)</f>
        <v>0</v>
      </c>
      <c r="K52" s="115">
        <f>IF(K24=1,IF(L37=1,1,0),0)</f>
        <v>0</v>
      </c>
      <c r="M52" s="168">
        <f>IF(M24=1,IF(L37=1,1,0),0)</f>
        <v>0</v>
      </c>
      <c r="N52" s="115">
        <f>IF(N24=1,IF(O37=1,1,0),0)</f>
        <v>0</v>
      </c>
      <c r="P52" s="168">
        <f>IF(P24=1,IF(O37=1,1,0),0)</f>
        <v>0</v>
      </c>
      <c r="Q52" s="115">
        <f>IF(Q24=1,IF(R37=1,1,0),0)</f>
        <v>0</v>
      </c>
      <c r="S52" s="168">
        <f>IF(S24=1,IF(R37=1,1,0),0)</f>
        <v>0</v>
      </c>
      <c r="T52" s="115">
        <f>IF(T24=1,IF(U37=1,1,0),0)</f>
        <v>0</v>
      </c>
      <c r="V52" s="168">
        <f>IF(V24=1,IF(U37=1,1,0),0)</f>
        <v>0</v>
      </c>
      <c r="W52" s="115">
        <f>IF(W24=1,IF(X37=1,1,0),0)</f>
        <v>0</v>
      </c>
      <c r="Y52" s="168">
        <f>IF(Y24=1,IF(X37=1,1,0),0)</f>
        <v>0</v>
      </c>
      <c r="Z52" s="115">
        <f>IF(Z24=1,IF(AA37=1,1,0),0)</f>
        <v>0</v>
      </c>
      <c r="AB52" s="168">
        <f>IF(AB24=1,IF(AA37=1,1,0),0)</f>
        <v>0</v>
      </c>
      <c r="AC52" s="115">
        <f>IF(AC24=1,IF(AD37=1,1,0),0)</f>
        <v>0</v>
      </c>
      <c r="AE52" s="168">
        <f>IF(AE24=1,IF(AD37=1,1,0),0)</f>
        <v>0</v>
      </c>
      <c r="AF52" s="115">
        <f>SUM(B52:AE52)</f>
        <v>2</v>
      </c>
      <c r="AT52" s="513"/>
      <c r="AU52" s="513"/>
      <c r="AV52" s="513"/>
      <c r="AW52" s="514"/>
      <c r="AX52" s="513"/>
      <c r="AY52" s="513"/>
    </row>
    <row r="53" spans="1:51" s="115" customFormat="1" ht="12.75" hidden="1" customHeight="1">
      <c r="A53" s="115" t="s">
        <v>44</v>
      </c>
      <c r="B53" s="115">
        <f>IF(B24=2,IF(C37=1,1,0),0)</f>
        <v>0</v>
      </c>
      <c r="D53" s="168">
        <f>IF(D24=2,IF(C37=1,1,0),0)</f>
        <v>1</v>
      </c>
      <c r="E53" s="115">
        <f>IF(E24=2,IF(F37=1,1,0),0)</f>
        <v>1</v>
      </c>
      <c r="G53" s="168">
        <f>IF(G24=2,IF(F37=1,1,0),0)</f>
        <v>0</v>
      </c>
      <c r="H53" s="115">
        <f>IF(H24=2,IF(I37=1,1,0),0)</f>
        <v>0</v>
      </c>
      <c r="J53" s="168">
        <f>IF(J24=2,IF(I37=1,1,0),0)</f>
        <v>0</v>
      </c>
      <c r="K53" s="115">
        <f>IF(K24=2,IF(L37=1,1,0),0)</f>
        <v>0</v>
      </c>
      <c r="M53" s="168">
        <f>IF(M24=2,IF(L37=1,1,0),0)</f>
        <v>0</v>
      </c>
      <c r="N53" s="115">
        <f>IF(N24=2,IF(O37=1,1,0),0)</f>
        <v>0</v>
      </c>
      <c r="P53" s="168">
        <f>IF(P24=2,IF(O37=1,1,0),0)</f>
        <v>0</v>
      </c>
      <c r="Q53" s="115">
        <f>IF(Q24=2,IF(R37=1,1,0),0)</f>
        <v>0</v>
      </c>
      <c r="S53" s="168">
        <f>IF(S24=2,IF(R37=1,1,0),0)</f>
        <v>0</v>
      </c>
      <c r="T53" s="115">
        <f>IF(T24=2,IF(U37=1,1,0),0)</f>
        <v>0</v>
      </c>
      <c r="V53" s="168">
        <f>IF(V24=2,IF(U37=1,1,0),0)</f>
        <v>0</v>
      </c>
      <c r="W53" s="115">
        <f>IF(W24=2,IF(X37=1,1,0),0)</f>
        <v>0</v>
      </c>
      <c r="Y53" s="168">
        <f>IF(Y24=2,IF(X37=1,1,0),0)</f>
        <v>0</v>
      </c>
      <c r="Z53" s="115">
        <f>IF(Z24=2,IF(AA37=1,1,0),0)</f>
        <v>0</v>
      </c>
      <c r="AB53" s="168">
        <f>IF(AB24=2,IF(AA37=1,1,0),0)</f>
        <v>0</v>
      </c>
      <c r="AC53" s="115">
        <f>IF(AC24=2,IF(AD37=1,1,0),0)</f>
        <v>0</v>
      </c>
      <c r="AE53" s="168">
        <f>IF(AE24=2,IF(AD37=1,1,0),0)</f>
        <v>0</v>
      </c>
      <c r="AF53" s="115">
        <f>SUM(B53:AE53)</f>
        <v>2</v>
      </c>
      <c r="AT53" s="513"/>
      <c r="AU53" s="513"/>
      <c r="AV53" s="513"/>
      <c r="AW53" s="514"/>
      <c r="AX53" s="513"/>
      <c r="AY53" s="513"/>
    </row>
    <row r="54" spans="1:51" s="115" customFormat="1" ht="12.75" hidden="1" customHeight="1">
      <c r="A54" s="115" t="s">
        <v>45</v>
      </c>
      <c r="B54" s="115">
        <f>IF(B24=3,IF(C37=1,1,0),0)</f>
        <v>0</v>
      </c>
      <c r="D54" s="168">
        <f>IF(D24=3,IF(C37=1,1,0),0)</f>
        <v>0</v>
      </c>
      <c r="E54" s="115">
        <f>IF(E24=3,IF(F37=1,1,0),0)</f>
        <v>0</v>
      </c>
      <c r="G54" s="168">
        <f>IF(G24=3,IF(F37=1,1,0),0)</f>
        <v>1</v>
      </c>
      <c r="H54" s="115">
        <f>IF(H24=3,IF(I37=1,1,0),0)</f>
        <v>0</v>
      </c>
      <c r="J54" s="168">
        <f>IF(J24=3,IF(I37=1,1,0),0)</f>
        <v>1</v>
      </c>
      <c r="K54" s="115">
        <f>IF(K24=3,IF(L37=1,1,0),0)</f>
        <v>0</v>
      </c>
      <c r="M54" s="168">
        <f>IF(M24=3,IF(L37=1,1,0),0)</f>
        <v>0</v>
      </c>
      <c r="N54" s="115">
        <f>IF(N24=3,IF(O37=1,1,0),0)</f>
        <v>0</v>
      </c>
      <c r="P54" s="168">
        <f>IF(P24=3,IF(O37=1,1,0),0)</f>
        <v>0</v>
      </c>
      <c r="Q54" s="115">
        <f>IF(Q24=3,IF(R37=1,1,0),0)</f>
        <v>0</v>
      </c>
      <c r="S54" s="168">
        <f>IF(S24=3,IF(R37=1,1,0),0)</f>
        <v>0</v>
      </c>
      <c r="T54" s="115">
        <f>IF(T24=3,IF(U37=1,1,0),0)</f>
        <v>0</v>
      </c>
      <c r="V54" s="168">
        <f>IF(V24=3,IF(U37=1,1,0),0)</f>
        <v>0</v>
      </c>
      <c r="W54" s="115">
        <f>IF(W24=3,IF(X37=1,1,0),0)</f>
        <v>0</v>
      </c>
      <c r="Y54" s="168">
        <f>IF(Y24=3,IF(X37=1,1,0),0)</f>
        <v>0</v>
      </c>
      <c r="Z54" s="115">
        <f>IF(Z24=3,IF(AA37=1,1,0),0)</f>
        <v>0</v>
      </c>
      <c r="AB54" s="168">
        <f>IF(AB24=3,IF(AA37=1,1,0),0)</f>
        <v>0</v>
      </c>
      <c r="AC54" s="115">
        <f>IF(AC24=3,IF(AD37=1,1,0),0)</f>
        <v>0</v>
      </c>
      <c r="AE54" s="168">
        <f>IF(AE24=3,IF(AD37=1,1,0),0)</f>
        <v>0</v>
      </c>
      <c r="AF54" s="115">
        <f>SUM(B54:AE54)</f>
        <v>2</v>
      </c>
      <c r="AT54" s="513"/>
      <c r="AU54" s="513"/>
      <c r="AV54" s="513"/>
      <c r="AW54" s="514"/>
      <c r="AX54" s="513"/>
      <c r="AY54" s="513"/>
    </row>
    <row r="55" spans="1:51" s="115" customFormat="1" ht="12.75" hidden="1" customHeight="1">
      <c r="A55" s="115" t="s">
        <v>46</v>
      </c>
      <c r="B55" s="115">
        <f>IF(B24=4,IF(C37=1,1,0),0)</f>
        <v>0</v>
      </c>
      <c r="D55" s="168">
        <f>IF(D24=4,IF(C37=1,1,0),0)</f>
        <v>0</v>
      </c>
      <c r="E55" s="115">
        <f>IF(E24=4,IF(F37=1,1,0),0)</f>
        <v>0</v>
      </c>
      <c r="G55" s="168">
        <f>IF(G24=4,IF(F37=1,1,0),0)</f>
        <v>0</v>
      </c>
      <c r="H55" s="115">
        <f>IF(H24=4,IF(I37=1,1,0),0)</f>
        <v>0</v>
      </c>
      <c r="J55" s="168">
        <f>IF(J24=4,IF(I37=1,1,0),0)</f>
        <v>0</v>
      </c>
      <c r="K55" s="115">
        <f>IF(K24=4,IF(L37=1,1,0),0)</f>
        <v>0</v>
      </c>
      <c r="M55" s="168">
        <f>IF(M24=4,IF(L37=1,1,0),0)</f>
        <v>0</v>
      </c>
      <c r="N55" s="115">
        <f>IF(N24=4,IF(O37=1,1,0),0)</f>
        <v>0</v>
      </c>
      <c r="P55" s="168">
        <f>IF(P24=4,IF(O37=1,1,0),0)</f>
        <v>0</v>
      </c>
      <c r="Q55" s="115">
        <f>IF(Q24=4,IF(R37=1,1,0),0)</f>
        <v>0</v>
      </c>
      <c r="S55" s="168">
        <f>IF(S24=4,IF(R37=1,1,0),0)</f>
        <v>0</v>
      </c>
      <c r="T55" s="115">
        <f>IF(T24=4,IF(U37=1,1,0),0)</f>
        <v>0</v>
      </c>
      <c r="V55" s="168">
        <f>IF(V24=4,IF(U37=1,1,0),0)</f>
        <v>0</v>
      </c>
      <c r="W55" s="115">
        <f>IF(W24=4,IF(X37=1,1,0),0)</f>
        <v>0</v>
      </c>
      <c r="Y55" s="168">
        <f>IF(Y24=4,IF(X37=1,1,0),0)</f>
        <v>0</v>
      </c>
      <c r="Z55" s="115">
        <f>IF(Z24=4,IF(AA37=1,1,0),0)</f>
        <v>0</v>
      </c>
      <c r="AB55" s="168">
        <f>IF(AB24=4,IF(AA37=1,1,0),0)</f>
        <v>0</v>
      </c>
      <c r="AC55" s="115">
        <f>IF(AC24=4,IF(AD37=1,1,0),0)</f>
        <v>0</v>
      </c>
      <c r="AE55" s="168">
        <f>IF(AE24=4,IF(AD37=1,1,0),0)</f>
        <v>0</v>
      </c>
      <c r="AF55" s="115">
        <f>SUM(B55:AE55)</f>
        <v>0</v>
      </c>
      <c r="AT55" s="513"/>
      <c r="AU55" s="513"/>
      <c r="AV55" s="513"/>
      <c r="AW55" s="514"/>
      <c r="AX55" s="513"/>
      <c r="AY55" s="513"/>
    </row>
    <row r="56" spans="1:51" s="115" customFormat="1" ht="12.75" hidden="1" customHeight="1">
      <c r="A56" s="115" t="s">
        <v>47</v>
      </c>
      <c r="B56" s="115">
        <f>IF(B24=5,IF(C37=1,1,0),0)</f>
        <v>0</v>
      </c>
      <c r="D56" s="168">
        <f>IF(D24=5,IF(C37=1,1,0),0)</f>
        <v>0</v>
      </c>
      <c r="E56" s="115">
        <f>IF(E24=5,IF(F37=1,1,0),0)</f>
        <v>0</v>
      </c>
      <c r="G56" s="168">
        <f>IF(G24=5,IF(F37=1,1,0),0)</f>
        <v>0</v>
      </c>
      <c r="H56" s="115">
        <f>IF(H24=5,IF(I37=1,1,0),0)</f>
        <v>0</v>
      </c>
      <c r="J56" s="168">
        <f>IF(J24=5,IF(I37=1,1,0),0)</f>
        <v>0</v>
      </c>
      <c r="K56" s="115">
        <f>IF(K24=5,IF(L37=1,1,0),0)</f>
        <v>0</v>
      </c>
      <c r="M56" s="168">
        <f>IF(M24=5,IF(L37=1,1,0),0)</f>
        <v>0</v>
      </c>
      <c r="N56" s="115">
        <f>IF(N24=5,IF(O37=1,1,0),0)</f>
        <v>0</v>
      </c>
      <c r="P56" s="168">
        <f>IF(P24=5,IF(O37=1,1,0),0)</f>
        <v>0</v>
      </c>
      <c r="Q56" s="115">
        <f>IF(Q24=5,IF(R37=1,1,0),0)</f>
        <v>0</v>
      </c>
      <c r="S56" s="168">
        <f>IF(S24=5,IF(R37=1,1,0),0)</f>
        <v>0</v>
      </c>
      <c r="T56" s="115">
        <f>IF(T24=5,IF(U37=1,1,0),0)</f>
        <v>0</v>
      </c>
      <c r="V56" s="168">
        <f>IF(V24=5,IF(U37=1,1,0),0)</f>
        <v>0</v>
      </c>
      <c r="W56" s="115">
        <f>IF(W24=5,IF(X37=1,1,0),0)</f>
        <v>0</v>
      </c>
      <c r="Y56" s="168">
        <f>IF(Y24=5,IF(X37=1,1,0),0)</f>
        <v>0</v>
      </c>
      <c r="Z56" s="115">
        <f>IF(Z24=5,IF(AA37=1,1,0),0)</f>
        <v>0</v>
      </c>
      <c r="AB56" s="168">
        <f>IF(AB24=5,IF(AA37=1,1,0),0)</f>
        <v>0</v>
      </c>
      <c r="AC56" s="115">
        <f>IF(AC24=5,IF(AD37=1,1,0),0)</f>
        <v>0</v>
      </c>
      <c r="AE56" s="168">
        <f>IF(AE24=5,IF(AD37=1,1,0),0)</f>
        <v>0</v>
      </c>
      <c r="AF56" s="115">
        <f>SUM(B56:AE56)</f>
        <v>0</v>
      </c>
      <c r="AT56" s="513"/>
      <c r="AU56" s="513"/>
      <c r="AV56" s="513"/>
      <c r="AW56" s="514"/>
      <c r="AX56" s="513"/>
      <c r="AY56" s="513"/>
    </row>
    <row r="57" spans="1:51" s="115" customFormat="1" ht="38.25" hidden="1" customHeight="1">
      <c r="A57" s="167"/>
      <c r="D57" s="168"/>
      <c r="G57" s="168"/>
      <c r="J57" s="168"/>
      <c r="M57" s="168"/>
      <c r="P57" s="168"/>
      <c r="S57" s="168"/>
      <c r="V57" s="168"/>
      <c r="Y57" s="168"/>
      <c r="AB57" s="168"/>
      <c r="AE57" s="168"/>
      <c r="AF57" s="167" t="s">
        <v>218</v>
      </c>
      <c r="AG57" s="392"/>
      <c r="AH57" s="392"/>
      <c r="AI57" s="392"/>
      <c r="AJ57" s="392"/>
      <c r="AK57" s="392"/>
      <c r="AT57" s="513"/>
      <c r="AU57" s="513"/>
      <c r="AV57" s="513"/>
      <c r="AW57" s="514"/>
      <c r="AX57" s="513"/>
      <c r="AY57" s="513"/>
    </row>
    <row r="58" spans="1:51" s="115" customFormat="1" ht="12.75" hidden="1" customHeight="1">
      <c r="A58" s="115" t="s">
        <v>43</v>
      </c>
      <c r="B58" s="115">
        <f>IF(B24=1,B44,0)</f>
        <v>48</v>
      </c>
      <c r="D58" s="168">
        <f>IF(D24=1,B44,0)</f>
        <v>0</v>
      </c>
      <c r="E58" s="115">
        <f>IF(E24=1,E44,0)</f>
        <v>0</v>
      </c>
      <c r="G58" s="168">
        <f>IF(G24=1,E44,0)</f>
        <v>0</v>
      </c>
      <c r="H58" s="115">
        <f>IF(H24=1,H44,0)</f>
        <v>44</v>
      </c>
      <c r="J58" s="168">
        <f>IF(J24=1,H44,0)</f>
        <v>0</v>
      </c>
      <c r="K58" s="115">
        <f>IF(K24=1,K44,0)</f>
        <v>0</v>
      </c>
      <c r="M58" s="168">
        <f>IF(M24=1,K44,0)</f>
        <v>0</v>
      </c>
      <c r="N58" s="115">
        <f>IF(N24=1,N44,0)</f>
        <v>0</v>
      </c>
      <c r="P58" s="168">
        <f>IF(P24=1,N44,0)</f>
        <v>0</v>
      </c>
      <c r="Q58" s="115">
        <f>IF(Q24=1,Q44,0)</f>
        <v>0</v>
      </c>
      <c r="S58" s="168">
        <f>IF(S24=1,Q44,0)</f>
        <v>0</v>
      </c>
      <c r="T58" s="115">
        <f>IF(T24=1,T44,0)</f>
        <v>0</v>
      </c>
      <c r="V58" s="168">
        <f>IF(V24=1,T44,0)</f>
        <v>0</v>
      </c>
      <c r="W58" s="115">
        <f>IF(W24=1,W44,0)</f>
        <v>0</v>
      </c>
      <c r="Y58" s="168">
        <f>IF(Y24=1,W44,0)</f>
        <v>0</v>
      </c>
      <c r="Z58" s="115">
        <f>IF(Z24=1,Z44,0)</f>
        <v>0</v>
      </c>
      <c r="AB58" s="168">
        <f>IF(AB24=1,Z44,0)</f>
        <v>0</v>
      </c>
      <c r="AC58" s="115">
        <f>IF(AC24=1,AC44,0)</f>
        <v>0</v>
      </c>
      <c r="AE58" s="168">
        <f>IF(AE24=1,AC44,0)</f>
        <v>0</v>
      </c>
      <c r="AF58" s="115">
        <f>SUM(B58:AE58)</f>
        <v>92</v>
      </c>
      <c r="AT58" s="513"/>
      <c r="AU58" s="513"/>
      <c r="AV58" s="513"/>
      <c r="AW58" s="514"/>
      <c r="AX58" s="513"/>
      <c r="AY58" s="513"/>
    </row>
    <row r="59" spans="1:51" s="115" customFormat="1" ht="12.75" hidden="1" customHeight="1">
      <c r="A59" s="115" t="s">
        <v>44</v>
      </c>
      <c r="B59" s="115">
        <f>IF(B24=2,B44,0)</f>
        <v>0</v>
      </c>
      <c r="D59" s="168">
        <f>IF(D24=2,B44,0)</f>
        <v>48</v>
      </c>
      <c r="E59" s="115">
        <f>IF(E24=2,E44,0)</f>
        <v>44</v>
      </c>
      <c r="G59" s="168">
        <f>IF(G24=2,E44,0)</f>
        <v>0</v>
      </c>
      <c r="H59" s="115">
        <f>IF(H24=2,H44,0)</f>
        <v>0</v>
      </c>
      <c r="J59" s="168">
        <f>IF(J24=2,H44,0)</f>
        <v>0</v>
      </c>
      <c r="K59" s="115">
        <f>IF(K24=2,K44,0)</f>
        <v>0</v>
      </c>
      <c r="M59" s="168">
        <f>IF(M24=2,K44,0)</f>
        <v>0</v>
      </c>
      <c r="N59" s="115">
        <f>IF(N24=2,N44,0)</f>
        <v>0</v>
      </c>
      <c r="P59" s="168">
        <f>IF(P24=2,N44,0)</f>
        <v>0</v>
      </c>
      <c r="Q59" s="115">
        <f>IF(Q24=2,Q44,0)</f>
        <v>0</v>
      </c>
      <c r="S59" s="168">
        <f>IF(S24=2,Q44,0)</f>
        <v>0</v>
      </c>
      <c r="T59" s="115">
        <f>IF(T24=2,T44,0)</f>
        <v>0</v>
      </c>
      <c r="V59" s="168">
        <f>IF(V24=2,T44,0)</f>
        <v>0</v>
      </c>
      <c r="W59" s="115">
        <f>IF(W24=2,W44,0)</f>
        <v>0</v>
      </c>
      <c r="Y59" s="168">
        <f>IF(Y24=2,W44,0)</f>
        <v>0</v>
      </c>
      <c r="Z59" s="115">
        <f>IF(Z24=2,Z44,0)</f>
        <v>0</v>
      </c>
      <c r="AB59" s="168">
        <f>IF(AB24=2,Z44,0)</f>
        <v>0</v>
      </c>
      <c r="AC59" s="115">
        <f>IF(AC24=2,AC44,0)</f>
        <v>0</v>
      </c>
      <c r="AE59" s="168">
        <f>IF(AE24=2,AC44,0)</f>
        <v>0</v>
      </c>
      <c r="AF59" s="115">
        <f>SUM(B59:AE59)</f>
        <v>92</v>
      </c>
      <c r="AT59" s="513"/>
      <c r="AU59" s="513"/>
      <c r="AV59" s="513"/>
      <c r="AW59" s="514"/>
      <c r="AX59" s="513"/>
      <c r="AY59" s="513"/>
    </row>
    <row r="60" spans="1:51" s="115" customFormat="1" ht="12.75" hidden="1" customHeight="1">
      <c r="A60" s="115" t="s">
        <v>45</v>
      </c>
      <c r="B60" s="115">
        <f>IF(B24=3,B44,0)</f>
        <v>0</v>
      </c>
      <c r="D60" s="168">
        <f>IF(D24=3,B44,0)</f>
        <v>0</v>
      </c>
      <c r="E60" s="115">
        <f>IF(E24=3,E44,0)</f>
        <v>0</v>
      </c>
      <c r="G60" s="168">
        <f>IF(G24=3,E44,0)</f>
        <v>44</v>
      </c>
      <c r="H60" s="115">
        <f>IF(H24=3,H44,0)</f>
        <v>0</v>
      </c>
      <c r="J60" s="168">
        <f>IF(J24=3,H44,0)</f>
        <v>44</v>
      </c>
      <c r="K60" s="115">
        <f>IF(K24=3,K44,0)</f>
        <v>0</v>
      </c>
      <c r="M60" s="168">
        <f>IF(M24=3,K44,0)</f>
        <v>0</v>
      </c>
      <c r="N60" s="115">
        <f>IF(N24=3,N44,0)</f>
        <v>0</v>
      </c>
      <c r="P60" s="168">
        <f>IF(P24=3,N44,0)</f>
        <v>0</v>
      </c>
      <c r="Q60" s="115">
        <f>IF(Q24=3,Q44,0)</f>
        <v>0</v>
      </c>
      <c r="S60" s="168">
        <f>IF(S24=3,Q44,0)</f>
        <v>0</v>
      </c>
      <c r="T60" s="115">
        <f>IF(T24=3,T44,0)</f>
        <v>0</v>
      </c>
      <c r="V60" s="168">
        <f>IF(V24=3,T44,0)</f>
        <v>0</v>
      </c>
      <c r="W60" s="115">
        <f>IF(W24=3,W44,0)</f>
        <v>0</v>
      </c>
      <c r="Y60" s="168">
        <f>IF(Y24=3,W44,0)</f>
        <v>0</v>
      </c>
      <c r="Z60" s="115">
        <f>IF(Z24=3,Z44,0)</f>
        <v>0</v>
      </c>
      <c r="AB60" s="168">
        <f>IF(AB24=3,Z44,0)</f>
        <v>0</v>
      </c>
      <c r="AC60" s="115">
        <f>IF(AC24=3,AC44,0)</f>
        <v>0</v>
      </c>
      <c r="AE60" s="168">
        <f>IF(AE24=3,AC44,0)</f>
        <v>0</v>
      </c>
      <c r="AF60" s="115">
        <f>SUM(B60:AE60)</f>
        <v>88</v>
      </c>
      <c r="AT60" s="513"/>
      <c r="AU60" s="513"/>
      <c r="AV60" s="513"/>
      <c r="AW60" s="514"/>
      <c r="AX60" s="513"/>
      <c r="AY60" s="513"/>
    </row>
    <row r="61" spans="1:51" s="115" customFormat="1" ht="12.75" hidden="1" customHeight="1">
      <c r="A61" s="115" t="s">
        <v>46</v>
      </c>
      <c r="B61" s="115">
        <f>IF(B24=4,B44,0)</f>
        <v>0</v>
      </c>
      <c r="D61" s="168">
        <f>IF(D24=4,B44,0)</f>
        <v>0</v>
      </c>
      <c r="E61" s="115">
        <f>IF(E24=4,E44,0)</f>
        <v>0</v>
      </c>
      <c r="G61" s="168">
        <f>IF(G24=4,E44,0)</f>
        <v>0</v>
      </c>
      <c r="H61" s="115">
        <f>IF(H24=4,H44,0)</f>
        <v>0</v>
      </c>
      <c r="J61" s="168">
        <f>IF(J24=4,H44,0)</f>
        <v>0</v>
      </c>
      <c r="K61" s="115">
        <f>IF(K24=4,K44,0)</f>
        <v>0</v>
      </c>
      <c r="M61" s="168">
        <f>IF(M24=4,K44,0)</f>
        <v>0</v>
      </c>
      <c r="N61" s="115">
        <f>IF(N24=4,N44,0)</f>
        <v>0</v>
      </c>
      <c r="P61" s="168">
        <f>IF(P24=4,N44,0)</f>
        <v>0</v>
      </c>
      <c r="Q61" s="115">
        <f>IF(Q24=4,Q44,0)</f>
        <v>0</v>
      </c>
      <c r="S61" s="168">
        <f>IF(S24=4,Q44,0)</f>
        <v>0</v>
      </c>
      <c r="T61" s="115">
        <f>IF(T24=4,T44,0)</f>
        <v>0</v>
      </c>
      <c r="V61" s="168">
        <f>IF(V24=4,T44,0)</f>
        <v>0</v>
      </c>
      <c r="W61" s="115">
        <f>IF(W24=4,W44,0)</f>
        <v>0</v>
      </c>
      <c r="Y61" s="168">
        <f>IF(Y24=4,W44,0)</f>
        <v>0</v>
      </c>
      <c r="Z61" s="115">
        <f>IF(Z24=4,Z44,0)</f>
        <v>0</v>
      </c>
      <c r="AB61" s="168">
        <f>IF(AB24=4,Z44,0)</f>
        <v>0</v>
      </c>
      <c r="AC61" s="115">
        <f>IF(AC24=4,AC44,0)</f>
        <v>0</v>
      </c>
      <c r="AE61" s="168">
        <f>IF(AE24=4,AC44,0)</f>
        <v>0</v>
      </c>
      <c r="AF61" s="115">
        <f>SUM(B61:AE61)</f>
        <v>0</v>
      </c>
      <c r="AT61" s="513"/>
      <c r="AU61" s="513"/>
      <c r="AV61" s="513"/>
      <c r="AW61" s="514"/>
      <c r="AX61" s="513"/>
      <c r="AY61" s="513"/>
    </row>
    <row r="62" spans="1:51" s="115" customFormat="1" ht="12.75" hidden="1" customHeight="1">
      <c r="A62" s="115" t="s">
        <v>47</v>
      </c>
      <c r="B62" s="115">
        <f>IF(B24=5,B44,0)</f>
        <v>0</v>
      </c>
      <c r="D62" s="168">
        <f>IF(D24=5,B44,0)</f>
        <v>0</v>
      </c>
      <c r="E62" s="115">
        <f>IF(E24=5,E44,0)</f>
        <v>0</v>
      </c>
      <c r="G62" s="168">
        <f>IF(G24=5,E44,0)</f>
        <v>0</v>
      </c>
      <c r="H62" s="115">
        <f>IF(H24=5,H44,0)</f>
        <v>0</v>
      </c>
      <c r="J62" s="168">
        <f>IF(J24=5,H44,0)</f>
        <v>0</v>
      </c>
      <c r="K62" s="115">
        <f>IF(K24=5,K44,0)</f>
        <v>0</v>
      </c>
      <c r="M62" s="168">
        <f>IF(M24=5,K44,0)</f>
        <v>0</v>
      </c>
      <c r="N62" s="115">
        <f>IF(N24=5,N44,0)</f>
        <v>0</v>
      </c>
      <c r="P62" s="168">
        <f>IF(P24=5,N44,0)</f>
        <v>0</v>
      </c>
      <c r="Q62" s="115">
        <f>IF(Q24=5,Q44,0)</f>
        <v>0</v>
      </c>
      <c r="S62" s="168">
        <f>IF(S24=5,Q44,0)</f>
        <v>0</v>
      </c>
      <c r="T62" s="115">
        <f>IF(T24=5,T44,0)</f>
        <v>0</v>
      </c>
      <c r="V62" s="168">
        <f>IF(V24=5,T44,0)</f>
        <v>0</v>
      </c>
      <c r="W62" s="115">
        <f>IF(W24=5,W44,0)</f>
        <v>0</v>
      </c>
      <c r="Y62" s="168">
        <f>IF(Y24=5,W44,0)</f>
        <v>0</v>
      </c>
      <c r="Z62" s="115">
        <f>IF(Z24=5,Z44,0)</f>
        <v>0</v>
      </c>
      <c r="AB62" s="168">
        <f>IF(AB24=5,Z44,0)</f>
        <v>0</v>
      </c>
      <c r="AC62" s="115">
        <f>IF(AC24=5,AC44,0)</f>
        <v>0</v>
      </c>
      <c r="AE62" s="168">
        <f>IF(AE24=5,AC44,0)</f>
        <v>0</v>
      </c>
      <c r="AF62" s="115">
        <f>SUM(B62:AE62)</f>
        <v>0</v>
      </c>
      <c r="AT62" s="513"/>
      <c r="AU62" s="513"/>
      <c r="AV62" s="513"/>
      <c r="AW62" s="514"/>
      <c r="AX62" s="513"/>
      <c r="AY62" s="513"/>
    </row>
    <row r="63" spans="1:51" s="115" customFormat="1" ht="38.25" hidden="1" customHeight="1">
      <c r="A63" s="115" t="s">
        <v>48</v>
      </c>
      <c r="D63" s="168"/>
      <c r="G63" s="168"/>
      <c r="J63" s="168"/>
      <c r="M63" s="168"/>
      <c r="P63" s="168"/>
      <c r="S63" s="168"/>
      <c r="V63" s="168"/>
      <c r="Y63" s="168"/>
      <c r="AB63" s="168"/>
      <c r="AE63" s="168"/>
      <c r="AF63" s="167" t="s">
        <v>219</v>
      </c>
      <c r="AG63" s="115" t="s">
        <v>220</v>
      </c>
      <c r="AT63" s="513"/>
      <c r="AU63" s="513"/>
      <c r="AV63" s="513"/>
      <c r="AW63" s="514"/>
      <c r="AX63" s="513"/>
      <c r="AY63" s="513"/>
    </row>
    <row r="64" spans="1:51" s="115" customFormat="1" ht="12.75" hidden="1" customHeight="1">
      <c r="A64" s="115" t="s">
        <v>38</v>
      </c>
      <c r="B64" s="115">
        <f>IF(B24=1,SUMIF(B31:B35,"&gt;0"),0)</f>
        <v>0</v>
      </c>
      <c r="D64" s="168">
        <f>IF(D24=1,SUMIF(D31:D35,"&gt;0"),0)</f>
        <v>0</v>
      </c>
      <c r="E64" s="115">
        <f>IF(E24=1,SUMIF(E31:E35,"&gt;0"),0)</f>
        <v>0</v>
      </c>
      <c r="G64" s="168">
        <f>IF(G24=1,SUMIF(G31:G35,"&gt;0"),0)</f>
        <v>0</v>
      </c>
      <c r="H64" s="115">
        <f>IF(H24=1,SUMIF(H31:H35,"&gt;0"),0)</f>
        <v>2</v>
      </c>
      <c r="J64" s="168">
        <f>IF(J24=1,SUMIF(J31:J35,"&gt;0"),0)</f>
        <v>0</v>
      </c>
      <c r="K64" s="115">
        <f>IF(K24=1,SUMIF(K31:K35,"&gt;0"),0)</f>
        <v>0</v>
      </c>
      <c r="M64" s="168">
        <f>IF(M24=1,SUMIF(M31:M35,"&gt;0"),0)</f>
        <v>0</v>
      </c>
      <c r="N64" s="115">
        <f>IF(N24=1,SUMIF(N31:N35,"&gt;0"),0)</f>
        <v>0</v>
      </c>
      <c r="P64" s="168">
        <f>IF(P24=1,SUMIF(P31:P35,"&gt;0"),0)</f>
        <v>0</v>
      </c>
      <c r="Q64" s="115">
        <f>IF(Q24=1,SUMIF(Q31:Q35,"&gt;0"),0)</f>
        <v>0</v>
      </c>
      <c r="S64" s="168">
        <f>IF(S24=1,SUMIF(S31:S35,"&gt;0"),0)</f>
        <v>0</v>
      </c>
      <c r="T64" s="115">
        <f>IF(T24=1,SUMIF(T31:T35,"&gt;0"),0)</f>
        <v>0</v>
      </c>
      <c r="V64" s="168">
        <f>IF(V24=1,SUMIF(V31:V35,"&gt;0"),0)</f>
        <v>0</v>
      </c>
      <c r="W64" s="115">
        <f>IF(W24=1,SUMIF(W31:W35,"&gt;0"),0)</f>
        <v>0</v>
      </c>
      <c r="Y64" s="168">
        <f>IF(Y24=1,SUMIF(Y31:Y35,"&gt;0"),0)</f>
        <v>0</v>
      </c>
      <c r="Z64" s="115">
        <f>IF(Z24=1,SUMIF(Z31:Z35,"&gt;0"),0)</f>
        <v>0</v>
      </c>
      <c r="AB64" s="168">
        <f>IF(AB24=1,SUMIF(AB31:AB35,"&gt;0"),0)</f>
        <v>0</v>
      </c>
      <c r="AC64" s="115">
        <f>IF(AC24=1,SUMIF(AC31:AC35,"&gt;0"),0)</f>
        <v>0</v>
      </c>
      <c r="AE64" s="168">
        <f>IF(AE24=1,SUMIF(AE31:AE35,"&gt;0"),0)</f>
        <v>0</v>
      </c>
      <c r="AF64" s="115">
        <f>SUM(B64:AE64)</f>
        <v>2</v>
      </c>
      <c r="AG64" s="115">
        <f>AF72-AF64</f>
        <v>2</v>
      </c>
      <c r="AT64" s="513"/>
      <c r="AU64" s="513"/>
      <c r="AV64" s="513"/>
      <c r="AW64" s="514"/>
      <c r="AX64" s="513"/>
      <c r="AY64" s="513"/>
    </row>
    <row r="65" spans="1:54" s="115" customFormat="1" ht="12.75" hidden="1" customHeight="1">
      <c r="A65" s="115" t="s">
        <v>39</v>
      </c>
      <c r="B65" s="115">
        <f>IF(B24=2,SUMIF(B31:B35,"&gt;0"),0)</f>
        <v>0</v>
      </c>
      <c r="D65" s="168">
        <f>IF(D24=2,SUMIF(D31:D35,"&gt;0"),0)</f>
        <v>2</v>
      </c>
      <c r="E65" s="115">
        <f>IF(E24=2,SUMIF(E31:E35,"&gt;0"),0)</f>
        <v>2</v>
      </c>
      <c r="G65" s="168">
        <f>IF(G24=2,SUMIF(G31:G35,"&gt;0"),0)</f>
        <v>0</v>
      </c>
      <c r="H65" s="115">
        <f>IF(H24=2,SUMIF(H31:H35,"&gt;0"),0)</f>
        <v>0</v>
      </c>
      <c r="J65" s="168">
        <f>IF(J24=2,SUMIF(J31:J35,"&gt;0"),0)</f>
        <v>0</v>
      </c>
      <c r="K65" s="115">
        <f>IF(K24=2,SUMIF(K31:K35,"&gt;0"),0)</f>
        <v>0</v>
      </c>
      <c r="M65" s="168">
        <f>IF(M24=2,SUMIF(M31:M35,"&gt;0"),0)</f>
        <v>0</v>
      </c>
      <c r="N65" s="115">
        <f>IF(N24=2,SUMIF(N31:N35,"&gt;0"),0)</f>
        <v>0</v>
      </c>
      <c r="P65" s="168">
        <f>IF(P24=2,SUMIF(P31:P35,"&gt;0"),0)</f>
        <v>0</v>
      </c>
      <c r="Q65" s="115">
        <f>IF(Q24=2,SUMIF(Q31:Q35,"&gt;0"),0)</f>
        <v>0</v>
      </c>
      <c r="S65" s="168">
        <f>IF(S24=2,SUMIF(S31:S35,"&gt;0"),0)</f>
        <v>0</v>
      </c>
      <c r="T65" s="115">
        <f>IF(T24=2,SUMIF(T31:T35,"&gt;0"),0)</f>
        <v>0</v>
      </c>
      <c r="V65" s="168">
        <f>IF(V24=2,SUMIF(V31:V35,"&gt;0"),0)</f>
        <v>0</v>
      </c>
      <c r="W65" s="115">
        <f>IF(W24=2,SUMIF(W31:W35,"&gt;0"),0)</f>
        <v>0</v>
      </c>
      <c r="Y65" s="168">
        <f>IF(Y24=2,SUMIF(Y31:Y35,"&gt;0"),0)</f>
        <v>0</v>
      </c>
      <c r="Z65" s="115">
        <f>IF(Z24=2,SUMIF(Z31:Z35,"&gt;0"),0)</f>
        <v>0</v>
      </c>
      <c r="AB65" s="168">
        <f>IF(AB24=2,SUMIF(AB31:AB35,"&gt;0"),0)</f>
        <v>0</v>
      </c>
      <c r="AC65" s="115">
        <f>IF(AC24=2,SUMIF(AC31:AC35,"&gt;0"),0)</f>
        <v>0</v>
      </c>
      <c r="AE65" s="168">
        <f>IF(AE24=2,SUMIF(AE31:AE35,"&gt;0"),0)</f>
        <v>0</v>
      </c>
      <c r="AF65" s="115">
        <f>SUM(B65:AE65)</f>
        <v>4</v>
      </c>
      <c r="AG65" s="115">
        <f>AF73-AF65</f>
        <v>0</v>
      </c>
      <c r="AT65" s="513"/>
      <c r="AU65" s="513"/>
      <c r="AV65" s="513"/>
      <c r="AW65" s="514"/>
      <c r="AX65" s="513"/>
      <c r="AY65" s="513"/>
    </row>
    <row r="66" spans="1:54" s="115" customFormat="1" ht="12.75" hidden="1" customHeight="1">
      <c r="A66" s="115" t="s">
        <v>40</v>
      </c>
      <c r="B66" s="115">
        <f>IF(B24=3,SUMIF(B31:B35,"&gt;0"),0)</f>
        <v>0</v>
      </c>
      <c r="D66" s="168">
        <f>IF(D24=3,SUMIF(D31:D35,"&gt;0"),0)</f>
        <v>0</v>
      </c>
      <c r="E66" s="115">
        <f>IF(E24=3,SUMIF(E31:E35,"&gt;0"),0)</f>
        <v>0</v>
      </c>
      <c r="G66" s="168">
        <f>IF(G24=3,SUMIF(G31:G35,"&gt;0"),0)</f>
        <v>0</v>
      </c>
      <c r="H66" s="115">
        <f>IF(H24=3,SUMIF(H31:H35,"&gt;0"),0)</f>
        <v>0</v>
      </c>
      <c r="J66" s="168">
        <f>IF(J24=3,SUMIF(J31:J35,"&gt;0"),0)</f>
        <v>0</v>
      </c>
      <c r="K66" s="115">
        <f>IF(K24=3,SUMIF(K31:K35,"&gt;0"),0)</f>
        <v>0</v>
      </c>
      <c r="M66" s="168">
        <f>IF(M24=3,SUMIF(M31:M35,"&gt;0"),0)</f>
        <v>0</v>
      </c>
      <c r="N66" s="115">
        <f>IF(N24=3,SUMIF(N31:N35,"&gt;0"),0)</f>
        <v>0</v>
      </c>
      <c r="P66" s="168">
        <f>IF(P24=3,SUMIF(P31:P35,"&gt;0"),0)</f>
        <v>0</v>
      </c>
      <c r="Q66" s="115">
        <f>IF(Q24=3,SUMIF(Q31:Q35,"&gt;0"),0)</f>
        <v>0</v>
      </c>
      <c r="S66" s="168">
        <f>IF(S24=3,SUMIF(S31:S35,"&gt;0"),0)</f>
        <v>0</v>
      </c>
      <c r="T66" s="115">
        <f>IF(T24=3,SUMIF(T31:T35,"&gt;0"),0)</f>
        <v>0</v>
      </c>
      <c r="V66" s="168">
        <f>IF(V24=3,SUMIF(V31:V35,"&gt;0"),0)</f>
        <v>0</v>
      </c>
      <c r="W66" s="115">
        <f>IF(W24=3,SUMIF(W31:W35,"&gt;0"),0)</f>
        <v>0</v>
      </c>
      <c r="Y66" s="168">
        <f>IF(Y24=3,SUMIF(Y31:Y35,"&gt;0"),0)</f>
        <v>0</v>
      </c>
      <c r="Z66" s="115">
        <f>IF(Z24=3,SUMIF(Z31:Z35,"&gt;0"),0)</f>
        <v>0</v>
      </c>
      <c r="AB66" s="168">
        <f>IF(AB24=3,SUMIF(AB31:AB35,"&gt;0"),0)</f>
        <v>0</v>
      </c>
      <c r="AC66" s="115">
        <f>IF(AC24=3,SUMIF(AC31:AC35,"&gt;0"),0)</f>
        <v>0</v>
      </c>
      <c r="AE66" s="168">
        <f>IF(AE24=3,SUMIF(AE31:AE35,"&gt;0"),0)</f>
        <v>0</v>
      </c>
      <c r="AF66" s="115">
        <f>SUM(B66:AE66)</f>
        <v>0</v>
      </c>
      <c r="AG66" s="115">
        <f>AF74-AF66</f>
        <v>4</v>
      </c>
      <c r="AT66" s="513"/>
      <c r="AU66" s="513"/>
      <c r="AV66" s="513"/>
      <c r="AW66" s="514"/>
      <c r="AX66" s="513"/>
      <c r="AY66" s="513"/>
    </row>
    <row r="67" spans="1:54" s="115" customFormat="1" ht="12.75" hidden="1" customHeight="1">
      <c r="A67" s="115" t="s">
        <v>41</v>
      </c>
      <c r="B67" s="115">
        <f>IF(B24=4,SUMIF(B31:B35,"&gt;0"),0)</f>
        <v>0</v>
      </c>
      <c r="D67" s="168">
        <f>IF(D24=4,SUMIF(D31:D35,"&gt;0"),0)</f>
        <v>0</v>
      </c>
      <c r="E67" s="115">
        <f>IF(E24=4,SUMIF(E31:E35,"&gt;0"),0)</f>
        <v>0</v>
      </c>
      <c r="G67" s="168">
        <f>IF(G24=4,SUMIF(G31:G35,"&gt;0"),0)</f>
        <v>0</v>
      </c>
      <c r="H67" s="115">
        <f>IF(H24=4,SUMIF(H31:H35,"&gt;0"),0)</f>
        <v>0</v>
      </c>
      <c r="J67" s="168">
        <f>IF(J24=4,SUMIF(J31:J35,"&gt;0"),0)</f>
        <v>0</v>
      </c>
      <c r="K67" s="115">
        <f>IF(K24=4,SUMIF(K31:K35,"&gt;0"),0)</f>
        <v>0</v>
      </c>
      <c r="M67" s="168">
        <f>IF(M24=4,SUMIF(M31:M35,"&gt;0"),0)</f>
        <v>0</v>
      </c>
      <c r="N67" s="115">
        <f>IF(N24=4,SUMIF(N31:N35,"&gt;0"),0)</f>
        <v>0</v>
      </c>
      <c r="P67" s="168">
        <f>IF(P24=4,SUMIF(P31:P35,"&gt;0"),0)</f>
        <v>0</v>
      </c>
      <c r="Q67" s="115">
        <f>IF(Q24=4,SUMIF(Q31:Q35,"&gt;0"),0)</f>
        <v>0</v>
      </c>
      <c r="S67" s="168">
        <f>IF(S24=4,SUMIF(S31:S35,"&gt;0"),0)</f>
        <v>0</v>
      </c>
      <c r="T67" s="115">
        <f>IF(T24=4,SUMIF(T31:T35,"&gt;0"),0)</f>
        <v>0</v>
      </c>
      <c r="V67" s="168">
        <f>IF(V24=4,SUMIF(V31:V35,"&gt;0"),0)</f>
        <v>0</v>
      </c>
      <c r="W67" s="115">
        <f>IF(W24=4,SUMIF(W31:W35,"&gt;0"),0)</f>
        <v>0</v>
      </c>
      <c r="Y67" s="168">
        <f>IF(Y24=4,SUMIF(Y31:Y35,"&gt;0"),0)</f>
        <v>0</v>
      </c>
      <c r="Z67" s="115">
        <f>IF(Z24=4,SUMIF(Z31:Z35,"&gt;0"),0)</f>
        <v>0</v>
      </c>
      <c r="AB67" s="168">
        <f>IF(AB24=4,SUMIF(AB31:AB35,"&gt;0"),0)</f>
        <v>0</v>
      </c>
      <c r="AC67" s="115">
        <f>IF(AC24=4,SUMIF(AC31:AC35,"&gt;0"),0)</f>
        <v>0</v>
      </c>
      <c r="AE67" s="168">
        <f>IF(AE24=4,SUMIF(AE31:AE35,"&gt;0"),0)</f>
        <v>0</v>
      </c>
      <c r="AF67" s="115">
        <f>SUM(B67:AE67)</f>
        <v>0</v>
      </c>
      <c r="AG67" s="115">
        <f>AF75-AF67</f>
        <v>0</v>
      </c>
      <c r="AT67" s="513"/>
      <c r="AU67" s="513"/>
      <c r="AV67" s="513"/>
      <c r="AW67" s="514"/>
      <c r="AX67" s="513"/>
      <c r="AY67" s="513"/>
    </row>
    <row r="68" spans="1:54" s="115" customFormat="1" ht="12.75" hidden="1" customHeight="1">
      <c r="A68" s="115" t="s">
        <v>42</v>
      </c>
      <c r="B68" s="115">
        <f>IF(B24=5,SUMIF(B31:B35,"&gt;0"),0)</f>
        <v>0</v>
      </c>
      <c r="D68" s="168">
        <f>IF(D24=5,SUMIF(D31:D35,"&gt;0"),0)</f>
        <v>0</v>
      </c>
      <c r="E68" s="115">
        <f>IF(E24=5,SUMIF(E31:E35,"&gt;0"),0)</f>
        <v>0</v>
      </c>
      <c r="G68" s="168">
        <f>IF(G24=5,SUMIF(G31:G35,"&gt;0"),0)</f>
        <v>0</v>
      </c>
      <c r="H68" s="115">
        <f>IF(H24=5,SUMIF(H31:H35,"&gt;0"),0)</f>
        <v>0</v>
      </c>
      <c r="J68" s="168">
        <f>IF(J24=5,SUMIF(J31:J35,"&gt;0"),0)</f>
        <v>0</v>
      </c>
      <c r="K68" s="115">
        <f>IF(K24=5,SUMIF(K31:K35,"&gt;0"),0)</f>
        <v>0</v>
      </c>
      <c r="M68" s="168">
        <f>IF(M24=5,SUMIF(M31:M35,"&gt;0"),0)</f>
        <v>0</v>
      </c>
      <c r="N68" s="115">
        <f>IF(N24=5,SUMIF(N31:N35,"&gt;0"),0)</f>
        <v>0</v>
      </c>
      <c r="P68" s="168">
        <f>IF(P24=5,SUMIF(P31:P35,"&gt;0"),0)</f>
        <v>0</v>
      </c>
      <c r="Q68" s="115">
        <f>IF(Q24=5,SUMIF(Q31:Q35,"&gt;0"),0)</f>
        <v>0</v>
      </c>
      <c r="S68" s="168">
        <f>IF(S24=5,SUMIF(S31:S35,"&gt;0"),0)</f>
        <v>0</v>
      </c>
      <c r="T68" s="115">
        <f>IF(T24=5,SUMIF(T31:T35,"&gt;0"),0)</f>
        <v>0</v>
      </c>
      <c r="V68" s="168">
        <f>IF(V24=5,SUMIF(V31:V35,"&gt;0"),0)</f>
        <v>0</v>
      </c>
      <c r="W68" s="115">
        <f>IF(W24=5,SUMIF(W31:W35,"&gt;0"),0)</f>
        <v>0</v>
      </c>
      <c r="Y68" s="168">
        <f>IF(Y24=5,SUMIF(Y31:Y35,"&gt;0"),0)</f>
        <v>0</v>
      </c>
      <c r="Z68" s="115">
        <f>IF(Z24=5,SUMIF(Z31:Z35,"&gt;0"),0)</f>
        <v>0</v>
      </c>
      <c r="AB68" s="168">
        <f>IF(AB24=5,SUMIF(AB31:AB35,"&gt;0"),0)</f>
        <v>0</v>
      </c>
      <c r="AC68" s="115">
        <f>IF(AC24=5,SUMIF(AC31:AC35,"&gt;0"),0)</f>
        <v>0</v>
      </c>
      <c r="AE68" s="168">
        <f>IF(AE24=5,SUMIF(AE31:AE35,"&gt;0"),0)</f>
        <v>0</v>
      </c>
      <c r="AF68" s="115">
        <f>SUM(B68:AE68)</f>
        <v>0</v>
      </c>
      <c r="AG68" s="115">
        <f>AF76-AF68</f>
        <v>0</v>
      </c>
      <c r="AT68" s="513"/>
      <c r="AU68" s="513"/>
      <c r="AV68" s="513"/>
      <c r="AW68" s="514"/>
      <c r="AX68" s="513"/>
      <c r="AY68" s="513"/>
    </row>
    <row r="69" spans="1:54" s="115" customFormat="1" ht="12.75" hidden="1" customHeight="1">
      <c r="D69" s="168"/>
      <c r="G69" s="168"/>
      <c r="J69" s="168"/>
      <c r="M69" s="168"/>
      <c r="P69" s="168"/>
      <c r="S69" s="168"/>
      <c r="V69" s="168"/>
      <c r="Y69" s="168"/>
      <c r="AB69" s="168"/>
      <c r="AE69" s="168"/>
      <c r="AT69" s="513"/>
      <c r="AU69" s="513"/>
      <c r="AV69" s="513"/>
      <c r="AW69" s="514"/>
      <c r="AX69" s="513"/>
      <c r="AY69" s="513"/>
    </row>
    <row r="70" spans="1:54" s="115" customFormat="1" ht="12.75" hidden="1" customHeight="1">
      <c r="D70" s="168"/>
      <c r="G70" s="168"/>
      <c r="J70" s="168"/>
      <c r="M70" s="168"/>
      <c r="P70" s="168"/>
      <c r="S70" s="168"/>
      <c r="V70" s="168"/>
      <c r="Y70" s="168"/>
      <c r="AB70" s="168"/>
      <c r="AE70" s="168"/>
      <c r="AT70" s="513"/>
      <c r="AU70" s="513"/>
      <c r="AV70" s="513"/>
      <c r="AW70" s="514"/>
      <c r="AX70" s="513"/>
      <c r="AY70" s="513"/>
    </row>
    <row r="71" spans="1:54" s="115" customFormat="1" ht="51" hidden="1" customHeight="1">
      <c r="A71" s="167" t="s">
        <v>221</v>
      </c>
      <c r="C71" s="115">
        <f>SUMIF(B64:D68,"&gt;0")</f>
        <v>2</v>
      </c>
      <c r="D71" s="168"/>
      <c r="F71" s="115">
        <f>SUMIF(E64:G68,"&gt;0")</f>
        <v>2</v>
      </c>
      <c r="G71" s="168"/>
      <c r="I71" s="115">
        <f>SUMIF(H64:J68,"&gt;0")</f>
        <v>2</v>
      </c>
      <c r="J71" s="168"/>
      <c r="L71" s="115">
        <f>SUMIF(K64:M68,"&gt;0")</f>
        <v>0</v>
      </c>
      <c r="M71" s="168"/>
      <c r="O71" s="115">
        <f>SUMIF(N64:P68,"&gt;0")</f>
        <v>0</v>
      </c>
      <c r="P71" s="168"/>
      <c r="R71" s="115">
        <f>SUMIF(Q64:S68,"&gt;0")</f>
        <v>0</v>
      </c>
      <c r="S71" s="168"/>
      <c r="U71" s="115">
        <f>SUMIF(T64:V68,"&gt;0")</f>
        <v>0</v>
      </c>
      <c r="V71" s="168"/>
      <c r="X71" s="115">
        <f>SUMIF(W64:Y68,"&gt;0")</f>
        <v>0</v>
      </c>
      <c r="Y71" s="168"/>
      <c r="AA71" s="115">
        <f>SUMIF(Z64:AB68,"&gt;0")</f>
        <v>0</v>
      </c>
      <c r="AB71" s="168"/>
      <c r="AD71" s="115">
        <f>SUMIF(AC64:AE68,"&gt;0")</f>
        <v>0</v>
      </c>
      <c r="AE71" s="168"/>
      <c r="AF71" s="167" t="s">
        <v>222</v>
      </c>
      <c r="AT71" s="513"/>
      <c r="AU71" s="513"/>
      <c r="AV71" s="513"/>
      <c r="AW71" s="514"/>
      <c r="AX71" s="513"/>
      <c r="AY71" s="513"/>
    </row>
    <row r="72" spans="1:54" s="115" customFormat="1" ht="12.75" hidden="1" customHeight="1">
      <c r="A72" s="115" t="s">
        <v>43</v>
      </c>
      <c r="B72" s="115">
        <f>IF(B24=1,C71,0)</f>
        <v>2</v>
      </c>
      <c r="D72" s="168">
        <f>IF(D24=1,C71,0)</f>
        <v>0</v>
      </c>
      <c r="E72" s="115">
        <f>IF(E24=1,F71,0)</f>
        <v>0</v>
      </c>
      <c r="G72" s="168">
        <f>IF(G24=1,F71,0)</f>
        <v>0</v>
      </c>
      <c r="H72" s="115">
        <f>IF(H24=1,I71,0)</f>
        <v>2</v>
      </c>
      <c r="J72" s="168">
        <f>IF(J24=1,I71,0)</f>
        <v>0</v>
      </c>
      <c r="K72" s="115">
        <f>IF(K24=1,L71,0)</f>
        <v>0</v>
      </c>
      <c r="M72" s="168">
        <f>IF(M24=1,L71,0)</f>
        <v>0</v>
      </c>
      <c r="N72" s="115">
        <f>IF(N24=1,O71,0)</f>
        <v>0</v>
      </c>
      <c r="P72" s="168">
        <f>IF(P24=1,O71,0)</f>
        <v>0</v>
      </c>
      <c r="Q72" s="115">
        <f>IF(Q24=1,R71,0)</f>
        <v>0</v>
      </c>
      <c r="S72" s="168">
        <f>IF(S24=1,R71,0)</f>
        <v>0</v>
      </c>
      <c r="T72" s="115">
        <f>IF(T24=1,U71,0)</f>
        <v>0</v>
      </c>
      <c r="V72" s="168">
        <f>IF(V24=1,U71,0)</f>
        <v>0</v>
      </c>
      <c r="W72" s="115">
        <f>IF(W24=1,X71,0)</f>
        <v>0</v>
      </c>
      <c r="Y72" s="168">
        <f>IF(Y24=1,X71,0)</f>
        <v>0</v>
      </c>
      <c r="Z72" s="115">
        <f>IF(Z24=1,AA71,0)</f>
        <v>0</v>
      </c>
      <c r="AB72" s="168">
        <f>IF(AB24=1,AA71,0)</f>
        <v>0</v>
      </c>
      <c r="AC72" s="115">
        <f>IF(AC24=1,AD71,0)</f>
        <v>0</v>
      </c>
      <c r="AE72" s="168">
        <f>IF(AE24=1,AD71,0)</f>
        <v>0</v>
      </c>
      <c r="AF72" s="115">
        <f>SUM(B72:AE72)</f>
        <v>4</v>
      </c>
      <c r="AT72" s="513"/>
      <c r="AU72" s="513"/>
      <c r="AV72" s="513"/>
      <c r="AW72" s="514"/>
      <c r="AX72" s="513"/>
      <c r="AY72" s="513"/>
    </row>
    <row r="73" spans="1:54" s="115" customFormat="1" ht="12.75" hidden="1" customHeight="1">
      <c r="A73" s="115" t="s">
        <v>44</v>
      </c>
      <c r="B73" s="115">
        <f>IF(B24=2,C71,0)</f>
        <v>0</v>
      </c>
      <c r="D73" s="168">
        <f>IF(D24=2,C71,0)</f>
        <v>2</v>
      </c>
      <c r="E73" s="115">
        <f>IF(E24=2,F71,0)</f>
        <v>2</v>
      </c>
      <c r="G73" s="168">
        <f>IF(G24=2,F71,0)</f>
        <v>0</v>
      </c>
      <c r="H73" s="115">
        <f>IF(H24=2,I71,0)</f>
        <v>0</v>
      </c>
      <c r="J73" s="168">
        <f>IF(J24=2,I71,0)</f>
        <v>0</v>
      </c>
      <c r="K73" s="115">
        <f>IF(K24=2,L71,0)</f>
        <v>0</v>
      </c>
      <c r="M73" s="168">
        <f>IF(M24=2,L71,0)</f>
        <v>0</v>
      </c>
      <c r="N73" s="115">
        <f>IF(N24=2,O71,0)</f>
        <v>0</v>
      </c>
      <c r="P73" s="168">
        <f>IF(P24=2,O71,0)</f>
        <v>0</v>
      </c>
      <c r="Q73" s="115">
        <f>IF(Q24=2,R71,0)</f>
        <v>0</v>
      </c>
      <c r="S73" s="168">
        <f>IF(S24=2,R71,0)</f>
        <v>0</v>
      </c>
      <c r="T73" s="115">
        <f>IF(T24=2,U71,0)</f>
        <v>0</v>
      </c>
      <c r="V73" s="168">
        <f>IF(V24=2,U71,0)</f>
        <v>0</v>
      </c>
      <c r="W73" s="115">
        <f>IF(W24=2,X71,0)</f>
        <v>0</v>
      </c>
      <c r="Y73" s="168">
        <f>IF(Y24=2,X71,0)</f>
        <v>0</v>
      </c>
      <c r="Z73" s="115">
        <f>IF(Z24=2,AA71,0)</f>
        <v>0</v>
      </c>
      <c r="AB73" s="168">
        <f>IF(AB24=2,AA71,0)</f>
        <v>0</v>
      </c>
      <c r="AC73" s="115">
        <f>IF(AC24=2,AD71,0)</f>
        <v>0</v>
      </c>
      <c r="AE73" s="168">
        <f>IF(AE24=2,AD71,0)</f>
        <v>0</v>
      </c>
      <c r="AF73" s="115">
        <f>SUM(B73:AE73)</f>
        <v>4</v>
      </c>
      <c r="AT73" s="513"/>
      <c r="AU73" s="513"/>
      <c r="AV73" s="513"/>
      <c r="AW73" s="514"/>
      <c r="AX73" s="513"/>
      <c r="AY73" s="513"/>
    </row>
    <row r="74" spans="1:54" s="115" customFormat="1" ht="12.75" hidden="1" customHeight="1">
      <c r="A74" s="115" t="s">
        <v>45</v>
      </c>
      <c r="B74" s="115">
        <f>IF(B24=3,C71,0)</f>
        <v>0</v>
      </c>
      <c r="D74" s="168">
        <f>IF(D24=3,C71,0)</f>
        <v>0</v>
      </c>
      <c r="E74" s="115">
        <f>IF(E24=3,F71,0)</f>
        <v>0</v>
      </c>
      <c r="G74" s="168">
        <f>IF(G24=3,F71,0)</f>
        <v>2</v>
      </c>
      <c r="H74" s="115">
        <f>IF(H24=3,I71,0)</f>
        <v>0</v>
      </c>
      <c r="J74" s="168">
        <f>IF(J24=3,I71,0)</f>
        <v>2</v>
      </c>
      <c r="K74" s="115">
        <f>IF(K24=3,L71,0)</f>
        <v>0</v>
      </c>
      <c r="M74" s="168">
        <f>IF(M24=3,L71,0)</f>
        <v>0</v>
      </c>
      <c r="N74" s="115">
        <f>IF(N24=3,O71,0)</f>
        <v>0</v>
      </c>
      <c r="P74" s="168">
        <f>IF(P24=3,O71,0)</f>
        <v>0</v>
      </c>
      <c r="Q74" s="115">
        <f>IF(Q24=3,R71,0)</f>
        <v>0</v>
      </c>
      <c r="S74" s="168">
        <f>IF(S24=3,R71,0)</f>
        <v>0</v>
      </c>
      <c r="T74" s="115">
        <f>IF(T24=3,U71,0)</f>
        <v>0</v>
      </c>
      <c r="V74" s="168">
        <f>IF(V24=3,U71,0)</f>
        <v>0</v>
      </c>
      <c r="W74" s="115">
        <f>IF(W24=3,X71,0)</f>
        <v>0</v>
      </c>
      <c r="Y74" s="168">
        <f>IF(Y24=3,X71,0)</f>
        <v>0</v>
      </c>
      <c r="Z74" s="115">
        <f>IF(Z24=3,AA71,0)</f>
        <v>0</v>
      </c>
      <c r="AB74" s="168">
        <f>IF(AB24=3,AA71,0)</f>
        <v>0</v>
      </c>
      <c r="AC74" s="115">
        <f>IF(AC24=3,AD71,0)</f>
        <v>0</v>
      </c>
      <c r="AE74" s="168">
        <f>IF(AE24=3,AD71,0)</f>
        <v>0</v>
      </c>
      <c r="AF74" s="115">
        <f>SUM(B74:AE74)</f>
        <v>4</v>
      </c>
      <c r="AT74" s="513"/>
      <c r="AU74" s="513"/>
      <c r="AV74" s="513"/>
      <c r="AW74" s="514"/>
      <c r="AX74" s="513"/>
      <c r="AY74" s="513"/>
    </row>
    <row r="75" spans="1:54" s="115" customFormat="1" ht="12.75" hidden="1" customHeight="1">
      <c r="A75" s="115" t="s">
        <v>46</v>
      </c>
      <c r="B75" s="115">
        <f>IF(B24=4,C71,0)</f>
        <v>0</v>
      </c>
      <c r="D75" s="168">
        <f>IF(D24=4,C71,0)</f>
        <v>0</v>
      </c>
      <c r="E75" s="115">
        <f>IF(E24=4,F71,0)</f>
        <v>0</v>
      </c>
      <c r="G75" s="168">
        <f>IF(G24=4,F71,0)</f>
        <v>0</v>
      </c>
      <c r="H75" s="115">
        <f>IF(H24=4,I71,0)</f>
        <v>0</v>
      </c>
      <c r="J75" s="168">
        <f>IF(J24=4,I71,0)</f>
        <v>0</v>
      </c>
      <c r="K75" s="115">
        <f>IF(K24=4,L71,0)</f>
        <v>0</v>
      </c>
      <c r="M75" s="168">
        <f>IF(M24=4,L71,0)</f>
        <v>0</v>
      </c>
      <c r="N75" s="115">
        <f>IF(N24=4,O71,0)</f>
        <v>0</v>
      </c>
      <c r="P75" s="168">
        <f>IF(P24=4,O71,0)</f>
        <v>0</v>
      </c>
      <c r="Q75" s="115">
        <f>IF(Q24=4,R71,0)</f>
        <v>0</v>
      </c>
      <c r="S75" s="168">
        <f>IF(S24=4,R71,0)</f>
        <v>0</v>
      </c>
      <c r="T75" s="115">
        <f>IF(T24=4,U71,0)</f>
        <v>0</v>
      </c>
      <c r="V75" s="168">
        <f>IF(V24=4,U71,0)</f>
        <v>0</v>
      </c>
      <c r="W75" s="115">
        <f>IF(W24=4,X71,0)</f>
        <v>0</v>
      </c>
      <c r="Y75" s="168">
        <f>IF(Y24=4,X71,0)</f>
        <v>0</v>
      </c>
      <c r="Z75" s="115">
        <f>IF(Z24=4,AA71,0)</f>
        <v>0</v>
      </c>
      <c r="AB75" s="168">
        <f>IF(AB24=4,AA71,0)</f>
        <v>0</v>
      </c>
      <c r="AC75" s="115">
        <f>IF(AC24=4,AD71,0)</f>
        <v>0</v>
      </c>
      <c r="AE75" s="168">
        <f>IF(AE24=4,AD71,0)</f>
        <v>0</v>
      </c>
      <c r="AF75" s="115">
        <f>SUM(B75:AE75)</f>
        <v>0</v>
      </c>
      <c r="AT75" s="513"/>
      <c r="AU75" s="513"/>
      <c r="AV75" s="513"/>
      <c r="AW75" s="514"/>
      <c r="AX75" s="513"/>
      <c r="AY75" s="513"/>
    </row>
    <row r="76" spans="1:54" s="115" customFormat="1" ht="12.75" hidden="1" customHeight="1">
      <c r="A76" s="115" t="s">
        <v>47</v>
      </c>
      <c r="B76" s="115">
        <f>IF(B24=5,C71,0)</f>
        <v>0</v>
      </c>
      <c r="D76" s="168">
        <f>IF(D24=5,C71,0)</f>
        <v>0</v>
      </c>
      <c r="E76" s="115">
        <f>IF(E24=5,F71,0)</f>
        <v>0</v>
      </c>
      <c r="G76" s="168">
        <f>IF(G24=5,F71,0)</f>
        <v>0</v>
      </c>
      <c r="H76" s="115">
        <f>IF(H24=5,I71,0)</f>
        <v>0</v>
      </c>
      <c r="J76" s="168">
        <f>IF(J24=5,I71,0)</f>
        <v>0</v>
      </c>
      <c r="K76" s="115">
        <f>IF(K24=5,L71,0)</f>
        <v>0</v>
      </c>
      <c r="M76" s="168">
        <f>IF(M24=5,L71,0)</f>
        <v>0</v>
      </c>
      <c r="N76" s="115">
        <f>IF(N24=5,O71,0)</f>
        <v>0</v>
      </c>
      <c r="P76" s="168">
        <f>IF(P24=5,O71,0)</f>
        <v>0</v>
      </c>
      <c r="Q76" s="115">
        <f>IF(Q24=5,R71,0)</f>
        <v>0</v>
      </c>
      <c r="S76" s="168">
        <f>IF(S24=5,R71,0)</f>
        <v>0</v>
      </c>
      <c r="T76" s="115">
        <f>IF(T24=5,U71,0)</f>
        <v>0</v>
      </c>
      <c r="V76" s="168">
        <f>IF(V24=5,U71,0)</f>
        <v>0</v>
      </c>
      <c r="W76" s="115">
        <f>IF(W24=5,X71,0)</f>
        <v>0</v>
      </c>
      <c r="Y76" s="168">
        <f>IF(Y24=5,X71,0)</f>
        <v>0</v>
      </c>
      <c r="Z76" s="115">
        <f>IF(Z24=5,AA71,0)</f>
        <v>0</v>
      </c>
      <c r="AB76" s="168">
        <f>IF(AB24=5,AA71,0)</f>
        <v>0</v>
      </c>
      <c r="AC76" s="115">
        <f>IF(AC24=5,AD71,0)</f>
        <v>0</v>
      </c>
      <c r="AE76" s="168">
        <f>IF(AE24=5,AD71,0)</f>
        <v>0</v>
      </c>
      <c r="AF76" s="115">
        <f>SUM(B76:AE76)</f>
        <v>0</v>
      </c>
      <c r="AT76" s="513"/>
      <c r="AU76" s="513"/>
      <c r="AV76" s="513"/>
      <c r="AW76" s="514"/>
      <c r="AX76" s="513"/>
      <c r="AY76" s="513"/>
    </row>
    <row r="77" spans="1:54" hidden="1">
      <c r="A77" s="118"/>
      <c r="B77" s="118"/>
      <c r="C77" s="118"/>
      <c r="D77" s="118"/>
      <c r="E77" s="118"/>
      <c r="F77" s="118"/>
      <c r="G77" s="118"/>
      <c r="H77" s="118"/>
      <c r="I77" s="118"/>
      <c r="J77" s="118"/>
      <c r="K77" s="118"/>
      <c r="L77" s="118"/>
      <c r="M77" s="118"/>
      <c r="N77" s="118"/>
      <c r="O77" s="118"/>
      <c r="P77" s="118"/>
      <c r="Q77" s="118"/>
      <c r="R77" s="118"/>
      <c r="S77" s="118"/>
      <c r="T77" s="118"/>
      <c r="U77" s="118"/>
      <c r="V77" s="118"/>
      <c r="W77" s="118"/>
      <c r="X77" s="118"/>
      <c r="Y77" s="118"/>
      <c r="Z77" s="118"/>
      <c r="AA77" s="118"/>
      <c r="AB77" s="118"/>
      <c r="AC77" s="118"/>
      <c r="AD77" s="118"/>
      <c r="AE77" s="118"/>
      <c r="AF77" s="118"/>
      <c r="AG77" s="118"/>
      <c r="AH77" s="118"/>
      <c r="AI77" s="118"/>
      <c r="AJ77" s="118"/>
      <c r="AK77" s="118"/>
      <c r="AL77" s="118"/>
      <c r="AM77" s="118"/>
      <c r="AN77" s="119"/>
      <c r="AO77" s="119"/>
      <c r="AP77" s="119"/>
      <c r="AQ77" s="119"/>
      <c r="AR77" s="117"/>
      <c r="AS77" s="117"/>
      <c r="AT77" s="513"/>
      <c r="AU77" s="513"/>
      <c r="AV77" s="513"/>
      <c r="BB77" s="39"/>
    </row>
    <row r="78" spans="1:54" s="117" customFormat="1" hidden="1">
      <c r="A78" s="34"/>
      <c r="B78" s="34"/>
      <c r="C78" s="34" t="s">
        <v>223</v>
      </c>
      <c r="D78" s="34">
        <v>1</v>
      </c>
      <c r="E78" s="34"/>
      <c r="F78" s="34"/>
      <c r="G78" s="34">
        <v>2</v>
      </c>
      <c r="H78" s="34"/>
      <c r="I78" s="34"/>
      <c r="J78" s="34">
        <v>3</v>
      </c>
      <c r="K78" s="34"/>
      <c r="L78" s="34"/>
      <c r="M78" s="34">
        <v>4</v>
      </c>
      <c r="N78" s="34"/>
      <c r="O78" s="34"/>
      <c r="P78" s="34">
        <v>5</v>
      </c>
      <c r="Q78" s="34"/>
      <c r="R78" s="34"/>
      <c r="S78" s="34">
        <v>6</v>
      </c>
      <c r="T78" s="34"/>
      <c r="U78" s="34"/>
      <c r="V78" s="34">
        <v>7</v>
      </c>
      <c r="W78" s="34"/>
      <c r="X78" s="34"/>
      <c r="Y78" s="34">
        <v>8</v>
      </c>
      <c r="Z78" s="34"/>
      <c r="AA78" s="34"/>
      <c r="AB78" s="34">
        <v>9</v>
      </c>
      <c r="AC78" s="34"/>
      <c r="AD78" s="34"/>
      <c r="AE78" s="34">
        <v>10</v>
      </c>
      <c r="AF78" s="3"/>
      <c r="AG78" s="34"/>
      <c r="AI78" s="169"/>
      <c r="AJ78" s="3"/>
      <c r="AK78" s="3"/>
      <c r="AL78" s="3"/>
      <c r="AM78" s="3"/>
      <c r="AN78" s="3"/>
      <c r="AO78" s="3"/>
      <c r="AT78" s="515" t="s">
        <v>224</v>
      </c>
      <c r="AU78" s="513"/>
      <c r="AV78" s="513"/>
      <c r="AW78" s="514"/>
      <c r="AX78" s="513"/>
      <c r="AY78" s="513"/>
      <c r="BB78" s="170"/>
    </row>
    <row r="79" spans="1:54" s="117" customFormat="1" hidden="1">
      <c r="A79" s="171">
        <v>1</v>
      </c>
      <c r="B79" s="171" t="str">
        <f>E8</f>
        <v>Intense Kids power Gvl</v>
      </c>
      <c r="C79" s="171">
        <f>VLOOKUP(B79,AU$3:BB$33,3,FALSE)</f>
        <v>1212.4987749778513</v>
      </c>
      <c r="D79" s="171">
        <f>IF(B72,B87,IF(D72,D87,C79))</f>
        <v>1208.3214321666892</v>
      </c>
      <c r="E79" s="171"/>
      <c r="F79" s="171"/>
      <c r="G79" s="171">
        <f>IF(E72,E87,IF(G72,G87,D79))</f>
        <v>1208.3214321666892</v>
      </c>
      <c r="H79" s="171"/>
      <c r="I79" s="171"/>
      <c r="J79" s="171">
        <f>IF(H72,H87,IF(J72,J87,G79))</f>
        <v>1233.4527459403562</v>
      </c>
      <c r="K79" s="171"/>
      <c r="L79" s="171"/>
      <c r="M79" s="171">
        <f>IF(K72,K87,IF(M72,M87,J79))</f>
        <v>1233.4527459403562</v>
      </c>
      <c r="N79" s="171"/>
      <c r="O79" s="171"/>
      <c r="P79" s="171">
        <f>IF(N72,N87,IF(P72,P87,M79))</f>
        <v>1233.4527459403562</v>
      </c>
      <c r="Q79" s="171"/>
      <c r="R79" s="171"/>
      <c r="S79" s="171">
        <f>IF(Q72,Q87,IF(S72,S87,P79))</f>
        <v>1233.4527459403562</v>
      </c>
      <c r="T79" s="171"/>
      <c r="U79" s="171"/>
      <c r="V79" s="171">
        <f>IF(T72,T87,IF(V72,V87,S79))</f>
        <v>1233.4527459403562</v>
      </c>
      <c r="W79" s="171"/>
      <c r="X79" s="171"/>
      <c r="Y79" s="171">
        <f>IF(W72,W87,IF(Y72,Y87,V79))</f>
        <v>1233.4527459403562</v>
      </c>
      <c r="Z79" s="171"/>
      <c r="AA79" s="171"/>
      <c r="AB79" s="171">
        <f>IF(Z72,Z87,IF(AB72,AB87,Y79))</f>
        <v>1233.4527459403562</v>
      </c>
      <c r="AC79" s="171"/>
      <c r="AD79" s="171"/>
      <c r="AE79" s="171">
        <f>IF(AC72,AC87,IF(AE72,AE87,AB79))</f>
        <v>1233.4527459403562</v>
      </c>
      <c r="AF79" s="3"/>
      <c r="AG79" s="3"/>
      <c r="AJ79" s="3"/>
      <c r="AK79" s="3"/>
      <c r="AL79" s="3"/>
      <c r="AM79" s="3"/>
      <c r="AN79" s="3"/>
      <c r="AO79" s="3"/>
      <c r="AT79" s="513" t="str">
        <f>B79</f>
        <v>Intense Kids power Gvl</v>
      </c>
      <c r="AU79" s="513">
        <f>AE79</f>
        <v>1233.4527459403562</v>
      </c>
      <c r="AV79" s="513"/>
      <c r="AW79" s="514"/>
      <c r="AX79" s="513"/>
      <c r="AY79" s="513"/>
      <c r="BB79" s="170"/>
    </row>
    <row r="80" spans="1:54" s="117" customFormat="1" hidden="1">
      <c r="A80" s="171">
        <v>2</v>
      </c>
      <c r="B80" s="171" t="str">
        <f>E10</f>
        <v>Magnum 12 Black</v>
      </c>
      <c r="C80" s="171">
        <f>VLOOKUP(B80,AU$3:BB$33,3,FALSE)</f>
        <v>1541.8981701239713</v>
      </c>
      <c r="D80" s="171">
        <f>IF(B73,B87,IF(D73,D87,C80))</f>
        <v>1546.0755129351335</v>
      </c>
      <c r="E80" s="171"/>
      <c r="F80" s="171"/>
      <c r="G80" s="171">
        <f>IF(E73,E87,IF(G73,G87,D80))</f>
        <v>1557.5535974664533</v>
      </c>
      <c r="H80" s="171"/>
      <c r="I80" s="171"/>
      <c r="J80" s="171">
        <f>IF(H73,H87,IF(J73,J87,G80))</f>
        <v>1557.5535974664533</v>
      </c>
      <c r="K80" s="171"/>
      <c r="L80" s="171"/>
      <c r="M80" s="171">
        <f>IF(K73,K87,IF(M73,M87,J80))</f>
        <v>1557.5535974664533</v>
      </c>
      <c r="N80" s="171"/>
      <c r="O80" s="171"/>
      <c r="P80" s="171">
        <f>IF(N73,N87,IF(P73,P87,M80))</f>
        <v>1557.5535974664533</v>
      </c>
      <c r="Q80" s="171"/>
      <c r="R80" s="171"/>
      <c r="S80" s="171">
        <f>IF(Q73,Q87,IF(S73,S87,P80))</f>
        <v>1557.5535974664533</v>
      </c>
      <c r="T80" s="171"/>
      <c r="U80" s="171"/>
      <c r="V80" s="171">
        <f>IF(T73,T87,IF(V73,V87,S80))</f>
        <v>1557.5535974664533</v>
      </c>
      <c r="W80" s="171"/>
      <c r="X80" s="171"/>
      <c r="Y80" s="171">
        <f>IF(W73,W87,IF(Y73,Y87,V80))</f>
        <v>1557.5535974664533</v>
      </c>
      <c r="Z80" s="171"/>
      <c r="AA80" s="171"/>
      <c r="AB80" s="171">
        <f>IF(Z73,Z87,IF(AB73,AB87,Y80))</f>
        <v>1557.5535974664533</v>
      </c>
      <c r="AC80" s="171"/>
      <c r="AD80" s="171"/>
      <c r="AE80" s="171">
        <f>IF(AC73,AC87,IF(AE73,AE87,AB80))</f>
        <v>1557.5535974664533</v>
      </c>
      <c r="AF80" s="3"/>
      <c r="AG80" s="3"/>
      <c r="AJ80" s="3"/>
      <c r="AL80" s="3"/>
      <c r="AM80" s="3"/>
      <c r="AN80" s="3"/>
      <c r="AO80" s="3"/>
      <c r="AT80" s="513" t="str">
        <f>B80</f>
        <v>Magnum 12 Black</v>
      </c>
      <c r="AU80" s="513">
        <f>AE80</f>
        <v>1557.5535974664533</v>
      </c>
      <c r="AV80" s="513"/>
      <c r="AW80" s="514"/>
      <c r="AX80" s="513"/>
      <c r="AY80" s="513"/>
      <c r="BB80" s="170"/>
    </row>
    <row r="81" spans="1:54" s="117" customFormat="1" hidden="1">
      <c r="A81" s="171">
        <v>3</v>
      </c>
      <c r="B81" s="171" t="str">
        <f>E12</f>
        <v>Magnum Aiken 12 Green</v>
      </c>
      <c r="C81" s="171">
        <f>VLOOKUP(B81,AU$3:BB$33,3,FALSE)</f>
        <v>1445.1361227091788</v>
      </c>
      <c r="D81" s="171">
        <f>IF(B74,B87,IF(D74,D87,C81))</f>
        <v>1445.1361227091788</v>
      </c>
      <c r="E81" s="171"/>
      <c r="F81" s="171"/>
      <c r="G81" s="171">
        <f>IF(E74,E87,IF(G74,G87,D81))</f>
        <v>1433.658038177859</v>
      </c>
      <c r="H81" s="171"/>
      <c r="I81" s="171"/>
      <c r="J81" s="171">
        <f>IF(H74,H87,IF(J74,J87,G81))</f>
        <v>1408.526724404192</v>
      </c>
      <c r="K81" s="171"/>
      <c r="L81" s="171"/>
      <c r="M81" s="171">
        <f>IF(K74,K87,IF(M74,M87,J81))</f>
        <v>1408.526724404192</v>
      </c>
      <c r="N81" s="171"/>
      <c r="O81" s="171"/>
      <c r="P81" s="171">
        <f>IF(N74,N87,IF(P74,P87,M81))</f>
        <v>1408.526724404192</v>
      </c>
      <c r="Q81" s="171"/>
      <c r="R81" s="171"/>
      <c r="S81" s="171">
        <f>IF(Q74,Q87,IF(S74,S87,P81))</f>
        <v>1408.526724404192</v>
      </c>
      <c r="T81" s="171"/>
      <c r="U81" s="171"/>
      <c r="V81" s="171">
        <f>IF(T74,T87,IF(V74,V87,S81))</f>
        <v>1408.526724404192</v>
      </c>
      <c r="W81" s="171"/>
      <c r="X81" s="171"/>
      <c r="Y81" s="171">
        <f>IF(W74,W87,IF(Y74,Y87,V81))</f>
        <v>1408.526724404192</v>
      </c>
      <c r="Z81" s="171"/>
      <c r="AA81" s="171"/>
      <c r="AB81" s="171">
        <f>IF(Z74,Z87,IF(AB74,AB87,Y81))</f>
        <v>1408.526724404192</v>
      </c>
      <c r="AC81" s="171"/>
      <c r="AD81" s="171"/>
      <c r="AE81" s="171">
        <f>IF(AC74,AC87,IF(AE74,AE87,AB81))</f>
        <v>1408.526724404192</v>
      </c>
      <c r="AF81" s="3"/>
      <c r="AG81" s="3"/>
      <c r="AJ81" s="3"/>
      <c r="AL81" s="3"/>
      <c r="AM81" s="3"/>
      <c r="AN81" s="3"/>
      <c r="AO81" s="3"/>
      <c r="AT81" s="513" t="str">
        <f>B81</f>
        <v>Magnum Aiken 12 Green</v>
      </c>
      <c r="AU81" s="513">
        <f>AE81</f>
        <v>1408.526724404192</v>
      </c>
      <c r="AV81" s="513"/>
      <c r="AW81" s="514"/>
      <c r="AX81" s="513"/>
      <c r="AY81" s="513"/>
      <c r="BB81" s="170"/>
    </row>
    <row r="82" spans="1:54" s="117" customFormat="1" hidden="1">
      <c r="A82" s="171">
        <v>4</v>
      </c>
      <c r="B82" s="171" t="str">
        <f>E14</f>
        <v>Team 12</v>
      </c>
      <c r="C82" s="171">
        <f>VLOOKUP(B82,AU$3:BB$33,3,FALSE)</f>
        <v>2012</v>
      </c>
      <c r="D82" s="171">
        <f>IF(B75,B87,IF(D75,D87,C82))</f>
        <v>2012</v>
      </c>
      <c r="E82" s="171"/>
      <c r="F82" s="171"/>
      <c r="G82" s="171">
        <f>IF(E75,E87,IF(G75,G87,D82))</f>
        <v>2012</v>
      </c>
      <c r="H82" s="171"/>
      <c r="I82" s="171"/>
      <c r="J82" s="171">
        <f>IF(H75,H87,IF(J75,J87,G82))</f>
        <v>2012</v>
      </c>
      <c r="K82" s="171"/>
      <c r="L82" s="171"/>
      <c r="M82" s="171">
        <f>IF(K75,K87,IF(M75,M87,J82))</f>
        <v>2012</v>
      </c>
      <c r="N82" s="171"/>
      <c r="O82" s="171"/>
      <c r="P82" s="171">
        <f>IF(N75,N87,IF(P75,P87,M82))</f>
        <v>2012</v>
      </c>
      <c r="Q82" s="171"/>
      <c r="R82" s="171"/>
      <c r="S82" s="171">
        <f>IF(Q75,Q87,IF(S75,S87,P82))</f>
        <v>2012</v>
      </c>
      <c r="T82" s="171"/>
      <c r="U82" s="171"/>
      <c r="V82" s="171">
        <f>IF(T75,T87,IF(V75,V87,S82))</f>
        <v>2012</v>
      </c>
      <c r="W82" s="171"/>
      <c r="X82" s="171"/>
      <c r="Y82" s="171">
        <f>IF(W75,W87,IF(Y75,Y87,V82))</f>
        <v>2012</v>
      </c>
      <c r="Z82" s="171"/>
      <c r="AA82" s="171"/>
      <c r="AB82" s="171">
        <f>IF(Z75,Z87,IF(AB75,AB87,Y82))</f>
        <v>2012</v>
      </c>
      <c r="AC82" s="171"/>
      <c r="AD82" s="171"/>
      <c r="AE82" s="171">
        <f>IF(AC75,AC87,IF(AE75,AE87,AB82))</f>
        <v>2012</v>
      </c>
      <c r="AF82" s="3"/>
      <c r="AG82" s="3"/>
      <c r="AJ82" s="3"/>
      <c r="AL82" s="3"/>
      <c r="AM82" s="3"/>
      <c r="AN82" s="3"/>
      <c r="AO82" s="3"/>
      <c r="AT82" s="513" t="str">
        <f>B82</f>
        <v>Team 12</v>
      </c>
      <c r="AU82" s="513">
        <f>AE82</f>
        <v>2012</v>
      </c>
      <c r="AV82" s="513"/>
      <c r="AW82" s="514"/>
      <c r="AX82" s="513"/>
      <c r="AY82" s="513"/>
      <c r="BB82" s="170"/>
    </row>
    <row r="83" spans="1:54" s="117" customFormat="1" hidden="1">
      <c r="A83" s="171">
        <v>5</v>
      </c>
      <c r="B83" s="171">
        <f>E16</f>
        <v>0</v>
      </c>
      <c r="C83" s="171" t="e">
        <f>VLOOKUP(B83,AU$3:BB$33,3,FALSE)</f>
        <v>#N/A</v>
      </c>
      <c r="D83" s="171" t="e">
        <f>IF(B76,B87,IF(D76,D87,C83))</f>
        <v>#N/A</v>
      </c>
      <c r="E83" s="171"/>
      <c r="F83" s="171"/>
      <c r="G83" s="171" t="e">
        <f>IF(E76,E87,IF(G76,G87,D83))</f>
        <v>#N/A</v>
      </c>
      <c r="H83" s="171"/>
      <c r="I83" s="171"/>
      <c r="J83" s="171" t="e">
        <f>IF(H76,H87,IF(J76,J87,G83))</f>
        <v>#N/A</v>
      </c>
      <c r="K83" s="171"/>
      <c r="L83" s="171"/>
      <c r="M83" s="171" t="e">
        <f>IF(K76,K87,IF(M76,M87,J83))</f>
        <v>#N/A</v>
      </c>
      <c r="N83" s="171"/>
      <c r="O83" s="171"/>
      <c r="P83" s="171" t="e">
        <f>IF(N76,N87,IF(P76,P87,M83))</f>
        <v>#N/A</v>
      </c>
      <c r="Q83" s="171"/>
      <c r="R83" s="171"/>
      <c r="S83" s="171" t="e">
        <f>IF(Q76,Q87,IF(S76,S87,P83))</f>
        <v>#N/A</v>
      </c>
      <c r="T83" s="171"/>
      <c r="U83" s="171"/>
      <c r="V83" s="171" t="e">
        <f>IF(T76,T87,IF(V76,V87,S83))</f>
        <v>#N/A</v>
      </c>
      <c r="W83" s="171"/>
      <c r="X83" s="171"/>
      <c r="Y83" s="171" t="e">
        <f>IF(W76,W87,IF(Y76,Y87,V83))</f>
        <v>#N/A</v>
      </c>
      <c r="Z83" s="171"/>
      <c r="AA83" s="171"/>
      <c r="AB83" s="171" t="e">
        <f>IF(Z76,Z87,IF(AB76,AB87,Y83))</f>
        <v>#N/A</v>
      </c>
      <c r="AC83" s="171"/>
      <c r="AD83" s="171"/>
      <c r="AE83" s="171" t="e">
        <f>IF(AC76,AC87,IF(AE76,AE87,AB83))</f>
        <v>#N/A</v>
      </c>
      <c r="AF83" s="3"/>
      <c r="AG83" s="3"/>
      <c r="AJ83" s="3"/>
      <c r="AL83" s="3"/>
      <c r="AM83" s="3"/>
      <c r="AN83" s="3"/>
      <c r="AO83" s="3"/>
      <c r="AT83" s="513">
        <f>B83</f>
        <v>0</v>
      </c>
      <c r="AU83" s="513" t="e">
        <f>AE83</f>
        <v>#N/A</v>
      </c>
      <c r="AV83" s="513"/>
      <c r="AW83" s="514"/>
      <c r="AX83" s="513"/>
      <c r="AY83" s="513"/>
      <c r="BB83" s="170"/>
    </row>
    <row r="84" spans="1:54" s="117" customFormat="1" hidden="1">
      <c r="A84" s="171"/>
      <c r="B84" s="171"/>
      <c r="C84" s="171"/>
      <c r="D84" s="171"/>
      <c r="E84" s="171"/>
      <c r="F84" s="171"/>
      <c r="G84" s="171"/>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3"/>
      <c r="AG84" s="3"/>
      <c r="AJ84" s="3"/>
      <c r="AL84" s="3"/>
      <c r="AM84" s="3"/>
      <c r="AN84" s="3"/>
      <c r="AO84" s="3"/>
      <c r="AT84" s="513"/>
      <c r="AU84" s="513"/>
      <c r="AV84" s="513"/>
      <c r="AW84" s="514"/>
      <c r="AX84" s="513"/>
      <c r="AY84" s="513"/>
      <c r="BB84" s="170"/>
    </row>
    <row r="85" spans="1:54" s="117" customFormat="1" hidden="1">
      <c r="A85" s="171" t="s">
        <v>225</v>
      </c>
      <c r="B85" s="171">
        <f>VLOOKUP(B24,$A79:$AE83,3,FALSE)</f>
        <v>1212.4987749778513</v>
      </c>
      <c r="C85" s="171">
        <v>1</v>
      </c>
      <c r="D85" s="171">
        <f>VLOOKUP(D24,$A79:$AE83,3,FALSE)</f>
        <v>1541.8981701239713</v>
      </c>
      <c r="E85" s="171">
        <f>VLOOKUP(E24,$A79:$AE83,4,FALSE)</f>
        <v>1546.0755129351335</v>
      </c>
      <c r="F85" s="171">
        <v>2</v>
      </c>
      <c r="G85" s="171">
        <f>VLOOKUP(G24,$A79:$AE83,4,FALSE)</f>
        <v>1445.1361227091788</v>
      </c>
      <c r="H85" s="171">
        <f>VLOOKUP(H24,$A79:$AE83,7,FALSE)</f>
        <v>1208.3214321666892</v>
      </c>
      <c r="I85" s="171">
        <v>3</v>
      </c>
      <c r="J85" s="171">
        <f>VLOOKUP(J24,$A79:$AE83,7,FALSE)</f>
        <v>1433.658038177859</v>
      </c>
      <c r="K85" s="171" t="e">
        <f>VLOOKUP(K24,$A79:$AE83,10,FALSE)</f>
        <v>#N/A</v>
      </c>
      <c r="L85" s="171">
        <v>4</v>
      </c>
      <c r="M85" s="171" t="e">
        <f>VLOOKUP(M24,$A79:$AE83,10,FALSE)</f>
        <v>#N/A</v>
      </c>
      <c r="N85" s="171" t="e">
        <f>VLOOKUP(N24,$A79:$AE83,13,FALSE)</f>
        <v>#N/A</v>
      </c>
      <c r="O85" s="171">
        <v>5</v>
      </c>
      <c r="P85" s="171" t="e">
        <f>VLOOKUP(P24,$A79:$AE83,13,FALSE)</f>
        <v>#N/A</v>
      </c>
      <c r="Q85" s="171" t="e">
        <f>VLOOKUP(Q24,$A79:$AE83,16,FALSE)</f>
        <v>#N/A</v>
      </c>
      <c r="R85" s="171">
        <v>6</v>
      </c>
      <c r="S85" s="171" t="e">
        <f>VLOOKUP(S24,$A79:$AE83,16,FALSE)</f>
        <v>#N/A</v>
      </c>
      <c r="T85" s="171" t="e">
        <f>VLOOKUP(T24,$A79:$AE83,19,FALSE)</f>
        <v>#N/A</v>
      </c>
      <c r="U85" s="171">
        <v>7</v>
      </c>
      <c r="V85" s="171" t="e">
        <f>VLOOKUP(V24,$A79:$AE83,19,FALSE)</f>
        <v>#N/A</v>
      </c>
      <c r="W85" s="171" t="e">
        <f>VLOOKUP(W24,$A79:$AE83,22,FALSE)</f>
        <v>#N/A</v>
      </c>
      <c r="X85" s="171">
        <v>8</v>
      </c>
      <c r="Y85" s="171" t="e">
        <f>VLOOKUP(Y24,$A79:$AE83,22,FALSE)</f>
        <v>#N/A</v>
      </c>
      <c r="Z85" s="171" t="e">
        <f>VLOOKUP(Z24,$A79:$AE83,25,FALSE)</f>
        <v>#N/A</v>
      </c>
      <c r="AA85" s="171">
        <v>9</v>
      </c>
      <c r="AB85" s="171" t="e">
        <f>VLOOKUP(AB24,$A79:$AE83,25,FALSE)</f>
        <v>#N/A</v>
      </c>
      <c r="AC85" s="171" t="e">
        <f>VLOOKUP(AC24,$A79:$AE83,28,FALSE)</f>
        <v>#N/A</v>
      </c>
      <c r="AD85" s="171">
        <v>10</v>
      </c>
      <c r="AE85" s="171" t="e">
        <f>VLOOKUP(AE24,$A79:$AE83,28,FALSE)</f>
        <v>#N/A</v>
      </c>
      <c r="AF85" s="3"/>
      <c r="AG85" s="118"/>
      <c r="AH85" s="118"/>
      <c r="AI85" s="118"/>
      <c r="AJ85" s="118"/>
      <c r="AK85" s="118"/>
      <c r="AL85" s="118"/>
      <c r="AM85" s="118"/>
      <c r="AN85" s="119"/>
      <c r="AO85" s="119"/>
      <c r="AP85" s="119"/>
      <c r="AQ85" s="119"/>
      <c r="AT85" s="513"/>
      <c r="AU85" s="513"/>
      <c r="AV85" s="513"/>
      <c r="AW85" s="514"/>
      <c r="AX85" s="513"/>
      <c r="AY85" s="513"/>
      <c r="BB85" s="170"/>
    </row>
    <row r="86" spans="1:54" s="176" customFormat="1" hidden="1">
      <c r="A86" s="172" t="s">
        <v>226</v>
      </c>
      <c r="B86" s="172">
        <f>1/(1+(10^-((B85-D85)/400)))*(B36+D36)</f>
        <v>0.26108392569762956</v>
      </c>
      <c r="C86" s="172"/>
      <c r="D86" s="172">
        <f>1/(1+(10^-((D85-B85)/400)))*(B36+D36)</f>
        <v>1.7389160743023704</v>
      </c>
      <c r="E86" s="172">
        <f>1/(1+(10^-((E85-G85)/400)))*(E36+G36)</f>
        <v>1.2826197167925038</v>
      </c>
      <c r="F86" s="172"/>
      <c r="G86" s="172">
        <f>1/(1+(10^-((G85-E85)/400)))*(E36+G36)</f>
        <v>0.71738028320749625</v>
      </c>
      <c r="H86" s="172">
        <f>1/(1+(10^-((H85-J85)/400)))*(H36+J36)</f>
        <v>0.42929288914581526</v>
      </c>
      <c r="I86" s="172"/>
      <c r="J86" s="172">
        <f>1/(1+(10^-((J85-H85)/400)))*(H36+J36)</f>
        <v>1.5707071108541848</v>
      </c>
      <c r="K86" s="172" t="e">
        <f>1/(1+(10^-((K85-M85)/400)))*(K36+M36)</f>
        <v>#N/A</v>
      </c>
      <c r="L86" s="172"/>
      <c r="M86" s="172" t="e">
        <f>1/(1+(10^-((M85-K85)/400)))*(K36+M36)</f>
        <v>#N/A</v>
      </c>
      <c r="N86" s="172" t="e">
        <f>1/(1+(10^-((N85-P85)/400)))*(N36+P36)</f>
        <v>#N/A</v>
      </c>
      <c r="O86" s="172"/>
      <c r="P86" s="172" t="e">
        <f>1/(1+(10^-((P85-N85)/400)))*(N36+P36)</f>
        <v>#N/A</v>
      </c>
      <c r="Q86" s="172" t="e">
        <f>1/(1+(10^-((Q85-S85)/400)))*(Q36+S36)</f>
        <v>#N/A</v>
      </c>
      <c r="R86" s="172"/>
      <c r="S86" s="172" t="e">
        <f>1/(1+(10^-((S85-Q85)/400)))*(Q36+S36)</f>
        <v>#N/A</v>
      </c>
      <c r="T86" s="172" t="e">
        <f>1/(1+(10^-((T85-V85)/400)))*(T36+V36)</f>
        <v>#N/A</v>
      </c>
      <c r="U86" s="172"/>
      <c r="V86" s="172" t="e">
        <f>1/(1+(10^-((V85-T85)/400)))*(T36+V36)</f>
        <v>#N/A</v>
      </c>
      <c r="W86" s="172" t="e">
        <f>1/(1+(10^-((W85-Y85)/400)))*(W36+Y36)</f>
        <v>#N/A</v>
      </c>
      <c r="X86" s="172"/>
      <c r="Y86" s="172" t="e">
        <f>1/(1+(10^-((Y85-W85)/400)))*(W36+Y36)</f>
        <v>#N/A</v>
      </c>
      <c r="Z86" s="172" t="e">
        <f>1/(1+(10^-((Z85-AB85)/400)))*(Z36+AB36)</f>
        <v>#N/A</v>
      </c>
      <c r="AA86" s="172"/>
      <c r="AB86" s="172" t="e">
        <f>1/(1+(10^-((AB85-Z85)/400)))*(Z36+AB36)</f>
        <v>#N/A</v>
      </c>
      <c r="AC86" s="172" t="e">
        <f>1/(1+(10^-((AC85-AE85)/400)))*(AC36+AE36)</f>
        <v>#N/A</v>
      </c>
      <c r="AD86" s="172"/>
      <c r="AE86" s="172" t="e">
        <f>1/(1+(10^-((AE85-AC85)/400)))*(AC36+AE36)</f>
        <v>#N/A</v>
      </c>
      <c r="AF86" s="173"/>
      <c r="AG86" s="174"/>
      <c r="AH86" s="174"/>
      <c r="AI86" s="174"/>
      <c r="AJ86" s="174"/>
      <c r="AK86" s="174"/>
      <c r="AL86" s="174"/>
      <c r="AM86" s="174"/>
      <c r="AN86" s="175"/>
      <c r="AO86" s="175"/>
      <c r="AP86" s="175"/>
      <c r="AQ86" s="175"/>
      <c r="AT86" s="516"/>
      <c r="AU86" s="516"/>
      <c r="AV86" s="516"/>
      <c r="AW86" s="517"/>
      <c r="AX86" s="516"/>
      <c r="AY86" s="516"/>
      <c r="BB86" s="177"/>
    </row>
    <row r="87" spans="1:54" s="182" customFormat="1" hidden="1">
      <c r="A87" s="178" t="s">
        <v>227</v>
      </c>
      <c r="B87" s="178">
        <f>B85+(B36-B86)*$BA$1</f>
        <v>1208.3214321666892</v>
      </c>
      <c r="C87" s="178"/>
      <c r="D87" s="178">
        <f>D85+(D36-D86)*$BA$1</f>
        <v>1546.0755129351335</v>
      </c>
      <c r="E87" s="178">
        <f>E85+(E36-E86)*$BA$1</f>
        <v>1557.5535974664533</v>
      </c>
      <c r="F87" s="178"/>
      <c r="G87" s="178">
        <f>G85+(G36-G86)*$BA$1</f>
        <v>1433.658038177859</v>
      </c>
      <c r="H87" s="178">
        <f>H85+(H36-H86)*$BA$1</f>
        <v>1233.4527459403562</v>
      </c>
      <c r="I87" s="178"/>
      <c r="J87" s="178">
        <f>J85+(J36-J86)*$BA$1</f>
        <v>1408.526724404192</v>
      </c>
      <c r="K87" s="178" t="e">
        <f>K85+(K36-K86)*$BA$1</f>
        <v>#N/A</v>
      </c>
      <c r="L87" s="178"/>
      <c r="M87" s="178" t="e">
        <f>M85+(M36-M86)*$BA$1</f>
        <v>#N/A</v>
      </c>
      <c r="N87" s="178" t="e">
        <f>N85+(N36-N86)*$BA$1</f>
        <v>#N/A</v>
      </c>
      <c r="O87" s="178"/>
      <c r="P87" s="178" t="e">
        <f>P85+(P36-P86)*$BA$1</f>
        <v>#N/A</v>
      </c>
      <c r="Q87" s="178" t="e">
        <f>Q85+(Q36-Q86)*$BA$1</f>
        <v>#N/A</v>
      </c>
      <c r="R87" s="178"/>
      <c r="S87" s="178" t="e">
        <f>S85+(S36-S86)*$BA$1</f>
        <v>#N/A</v>
      </c>
      <c r="T87" s="178" t="e">
        <f>T85+(T36-T86)*$BA$1</f>
        <v>#N/A</v>
      </c>
      <c r="U87" s="178"/>
      <c r="V87" s="178" t="e">
        <f>V85+(V36-V86)*$BA$1</f>
        <v>#N/A</v>
      </c>
      <c r="W87" s="178" t="e">
        <f>W85+(W36-W86)*$BA$1</f>
        <v>#N/A</v>
      </c>
      <c r="X87" s="178"/>
      <c r="Y87" s="178" t="e">
        <f>Y85+(Y36-Y86)*$BA$1</f>
        <v>#N/A</v>
      </c>
      <c r="Z87" s="178" t="e">
        <f>Z85+(Z36-Z86)*$BA$1</f>
        <v>#N/A</v>
      </c>
      <c r="AA87" s="178"/>
      <c r="AB87" s="178" t="e">
        <f>AB85+(AB36-AB86)*$BA$1</f>
        <v>#N/A</v>
      </c>
      <c r="AC87" s="178" t="e">
        <f>AC85+(AC36-AC86)*$BA$1</f>
        <v>#N/A</v>
      </c>
      <c r="AD87" s="178"/>
      <c r="AE87" s="178" t="e">
        <f>AE85+(AE36-AE86)*$BA$1</f>
        <v>#N/A</v>
      </c>
      <c r="AF87" s="179"/>
      <c r="AG87" s="180"/>
      <c r="AH87" s="180"/>
      <c r="AI87" s="180"/>
      <c r="AJ87" s="180"/>
      <c r="AK87" s="180"/>
      <c r="AL87" s="180"/>
      <c r="AM87" s="180"/>
      <c r="AN87" s="181"/>
      <c r="AO87" s="181"/>
      <c r="AP87" s="181"/>
      <c r="AQ87" s="181"/>
      <c r="AT87" s="518"/>
      <c r="AU87" s="518"/>
      <c r="AV87" s="518"/>
      <c r="AW87" s="519"/>
      <c r="AX87" s="518"/>
      <c r="AY87" s="518"/>
      <c r="BB87" s="183"/>
    </row>
    <row r="88" spans="1:54" s="182" customFormat="1" hidden="1">
      <c r="A88" s="178"/>
      <c r="B88" s="178"/>
      <c r="C88" s="178"/>
      <c r="D88" s="178"/>
      <c r="E88" s="178"/>
      <c r="F88" s="178"/>
      <c r="G88" s="178"/>
      <c r="H88" s="178"/>
      <c r="I88" s="178"/>
      <c r="J88" s="178"/>
      <c r="K88" s="178"/>
      <c r="L88" s="178"/>
      <c r="M88" s="178"/>
      <c r="N88" s="178"/>
      <c r="O88" s="178"/>
      <c r="P88" s="178"/>
      <c r="Q88" s="178"/>
      <c r="R88" s="178"/>
      <c r="S88" s="178"/>
      <c r="T88" s="178"/>
      <c r="U88" s="178"/>
      <c r="V88" s="178"/>
      <c r="W88" s="178"/>
      <c r="X88" s="178"/>
      <c r="Y88" s="178"/>
      <c r="Z88" s="178"/>
      <c r="AA88" s="178"/>
      <c r="AB88" s="178"/>
      <c r="AC88" s="178"/>
      <c r="AD88" s="178"/>
      <c r="AE88" s="178"/>
      <c r="AF88" s="179"/>
      <c r="AG88" s="180"/>
      <c r="AH88" s="180"/>
      <c r="AI88" s="180"/>
      <c r="AJ88" s="180"/>
      <c r="AK88" s="180"/>
      <c r="AL88" s="180"/>
      <c r="AM88" s="180"/>
      <c r="AN88" s="181"/>
      <c r="AO88" s="181"/>
      <c r="AP88" s="181"/>
      <c r="AQ88" s="181"/>
      <c r="AT88" s="518"/>
      <c r="AU88" s="518"/>
      <c r="AV88" s="518"/>
      <c r="AW88" s="519"/>
      <c r="AX88" s="518"/>
      <c r="AY88" s="518"/>
      <c r="BB88" s="183"/>
    </row>
    <row r="89" spans="1:54" s="117" customFormat="1">
      <c r="A89" s="393" t="str">
        <f>IF($AK10=1,"Pool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Tiebreaker : 1) Games Won vs Lost (if 3 way tie then #5)  2) Head to Head  3) Head to Head Net Points  4) Game Win %  5) Total Pool Net Points  6) Flip a Coin</v>
      </c>
      <c r="B89" s="393"/>
      <c r="C89" s="393"/>
      <c r="D89" s="393"/>
      <c r="E89" s="393"/>
      <c r="F89" s="393"/>
      <c r="G89" s="393"/>
      <c r="H89" s="393"/>
      <c r="I89" s="393"/>
      <c r="J89" s="393"/>
      <c r="K89" s="393"/>
      <c r="L89" s="393"/>
      <c r="M89" s="393"/>
      <c r="N89" s="393"/>
      <c r="O89" s="393"/>
      <c r="P89" s="393"/>
      <c r="Q89" s="393"/>
      <c r="R89" s="393"/>
      <c r="S89" s="393"/>
      <c r="T89" s="393"/>
      <c r="U89" s="393"/>
      <c r="V89" s="393"/>
      <c r="W89" s="393"/>
      <c r="X89" s="393"/>
      <c r="Y89" s="393"/>
      <c r="Z89" s="393"/>
      <c r="AA89" s="393"/>
      <c r="AB89" s="393"/>
      <c r="AC89" s="393"/>
      <c r="AD89" s="393"/>
      <c r="AE89" s="393"/>
      <c r="AF89" s="393"/>
      <c r="AG89" s="393"/>
      <c r="AH89" s="393"/>
      <c r="AI89" s="393"/>
      <c r="AJ89" s="393"/>
      <c r="AK89" s="393"/>
      <c r="AL89" s="393"/>
      <c r="AM89" s="394"/>
      <c r="AN89" s="394"/>
      <c r="AO89" s="394"/>
      <c r="AP89" s="394"/>
      <c r="AT89" s="513"/>
      <c r="AU89" s="513"/>
      <c r="AV89" s="513"/>
      <c r="AW89" s="514"/>
      <c r="AX89" s="513"/>
      <c r="AY89" s="513"/>
    </row>
    <row r="90" spans="1:54" s="117" customFormat="1" ht="13.5" thickBot="1">
      <c r="A90" s="395"/>
      <c r="B90" s="395"/>
      <c r="C90" s="395"/>
      <c r="D90" s="395"/>
      <c r="E90" s="395"/>
      <c r="F90" s="395"/>
      <c r="G90" s="395"/>
      <c r="H90" s="395"/>
      <c r="I90" s="395"/>
      <c r="J90" s="395"/>
      <c r="K90" s="395"/>
      <c r="L90" s="395"/>
      <c r="M90" s="395"/>
      <c r="N90" s="395"/>
      <c r="O90" s="395"/>
      <c r="P90" s="395"/>
      <c r="Q90" s="395"/>
      <c r="R90" s="395"/>
      <c r="S90" s="395"/>
      <c r="T90" s="395"/>
      <c r="U90" s="395"/>
      <c r="V90" s="395"/>
      <c r="W90" s="395"/>
      <c r="X90" s="395"/>
      <c r="Y90" s="395"/>
      <c r="Z90" s="395"/>
      <c r="AA90" s="395"/>
      <c r="AB90" s="395"/>
      <c r="AC90" s="395"/>
      <c r="AD90" s="395"/>
      <c r="AE90" s="395"/>
      <c r="AF90" s="395"/>
      <c r="AG90" s="395"/>
      <c r="AH90" s="395"/>
      <c r="AI90" s="395"/>
      <c r="AJ90" s="395"/>
      <c r="AK90" s="395"/>
      <c r="AL90" s="395"/>
      <c r="AM90" s="395"/>
      <c r="AN90" s="395"/>
      <c r="AO90" s="395"/>
      <c r="AP90" s="395"/>
      <c r="AQ90" s="395"/>
      <c r="AT90" s="513"/>
      <c r="AU90" s="513"/>
      <c r="AV90" s="513"/>
      <c r="AW90" s="514"/>
      <c r="AX90" s="513"/>
      <c r="AY90" s="513"/>
    </row>
    <row r="91" spans="1:54" ht="24" customHeight="1" thickBot="1">
      <c r="A91" s="96" t="s">
        <v>16</v>
      </c>
      <c r="B91" s="150" t="s">
        <v>248</v>
      </c>
      <c r="C91" s="274" t="s">
        <v>188</v>
      </c>
      <c r="D91" s="275"/>
      <c r="E91" s="275"/>
      <c r="F91" s="275"/>
      <c r="G91" s="275"/>
      <c r="H91" s="276"/>
      <c r="I91" s="277">
        <v>2</v>
      </c>
      <c r="J91" s="278"/>
      <c r="K91" s="457" t="str">
        <f>"Pool "&amp;B91&amp;" - Round 3 - Court "&amp;I91</f>
        <v>Pool B3 - Round 3 - Court 2</v>
      </c>
      <c r="L91" s="458"/>
      <c r="M91" s="458"/>
      <c r="N91" s="458"/>
      <c r="O91" s="458"/>
      <c r="P91" s="458"/>
      <c r="Q91" s="458"/>
      <c r="R91" s="458"/>
      <c r="S91" s="458"/>
      <c r="T91" s="458"/>
      <c r="U91" s="458"/>
      <c r="V91" s="458"/>
      <c r="W91" s="458"/>
      <c r="X91" s="458"/>
      <c r="Y91" s="458"/>
      <c r="Z91" s="458"/>
      <c r="AA91" s="458"/>
      <c r="AB91" s="458"/>
      <c r="AC91" s="458"/>
      <c r="AD91" s="458"/>
      <c r="AE91" s="458"/>
      <c r="AF91" s="458"/>
      <c r="AG91" s="458"/>
      <c r="AH91" s="458"/>
      <c r="AI91" s="459"/>
      <c r="AJ91" s="1"/>
      <c r="AK91" s="1"/>
      <c r="AL91" s="1"/>
      <c r="AM91" s="1"/>
      <c r="AN91" s="1"/>
      <c r="AO91" s="1"/>
      <c r="AP91" s="1"/>
      <c r="AQ91" s="1"/>
    </row>
    <row r="92" spans="1:54" ht="27" customHeight="1" thickBot="1">
      <c r="A92" s="97" t="s">
        <v>17</v>
      </c>
      <c r="B92" s="282" t="s">
        <v>5</v>
      </c>
      <c r="C92" s="295"/>
      <c r="D92" s="295"/>
      <c r="E92" s="295"/>
      <c r="F92" s="295"/>
      <c r="G92" s="295"/>
      <c r="H92" s="295"/>
      <c r="I92" s="295"/>
      <c r="J92" s="295"/>
      <c r="K92" s="295"/>
      <c r="L92" s="282" t="str">
        <f>IF($AK95=0,"Games Won","Matches Won")</f>
        <v>Games Won</v>
      </c>
      <c r="M92" s="295"/>
      <c r="N92" s="295"/>
      <c r="O92" s="295"/>
      <c r="P92" s="295"/>
      <c r="Q92" s="296"/>
      <c r="R92" s="282" t="str">
        <f>IF($AK95=0,"Games Lost","Matches Lost")</f>
        <v>Games Lost</v>
      </c>
      <c r="S92" s="299"/>
      <c r="T92" s="299"/>
      <c r="U92" s="299"/>
      <c r="V92" s="300"/>
      <c r="W92" s="301" t="s">
        <v>18</v>
      </c>
      <c r="X92" s="302"/>
      <c r="Y92" s="303"/>
      <c r="Z92" s="301" t="s">
        <v>189</v>
      </c>
      <c r="AA92" s="302"/>
      <c r="AB92" s="303"/>
      <c r="AC92" s="312" t="s">
        <v>19</v>
      </c>
      <c r="AD92" s="313"/>
      <c r="AE92" s="314"/>
      <c r="AF92" s="98" t="s">
        <v>20</v>
      </c>
      <c r="AG92" s="151" t="s">
        <v>4</v>
      </c>
      <c r="AH92" s="315" t="s">
        <v>21</v>
      </c>
      <c r="AI92" s="316"/>
      <c r="AJ92" s="99"/>
      <c r="AK92" s="100">
        <v>2</v>
      </c>
      <c r="AL92" s="101" t="s">
        <v>22</v>
      </c>
      <c r="AM92" s="101"/>
      <c r="AN92" s="101"/>
      <c r="AO92" s="101"/>
      <c r="AP92" s="101"/>
      <c r="AQ92" s="101"/>
      <c r="AR92" s="102"/>
    </row>
    <row r="93" spans="1:54" ht="18.75" customHeight="1">
      <c r="A93" s="317" t="str">
        <f>IF($AK94&gt;0,"1","")</f>
        <v>1</v>
      </c>
      <c r="B93" s="319" t="s">
        <v>5</v>
      </c>
      <c r="C93" s="320"/>
      <c r="D93" s="321"/>
      <c r="E93" s="322" t="str">
        <f>'AM 9 Team Pool - Rnd 2'!M264</f>
        <v>SC Midlands KP Boys</v>
      </c>
      <c r="F93" s="323"/>
      <c r="G93" s="323"/>
      <c r="H93" s="323"/>
      <c r="I93" s="323"/>
      <c r="J93" s="323"/>
      <c r="K93" s="324"/>
      <c r="L93" s="304">
        <f>IF($AK95=0,AF149,AF131)</f>
        <v>2</v>
      </c>
      <c r="M93" s="305"/>
      <c r="N93" s="305"/>
      <c r="O93" s="305"/>
      <c r="P93" s="305"/>
      <c r="Q93" s="297"/>
      <c r="R93" s="304">
        <f>IF($AK95=0,AG149,AG131)</f>
        <v>2</v>
      </c>
      <c r="S93" s="305"/>
      <c r="T93" s="305"/>
      <c r="U93" s="305"/>
      <c r="V93" s="305"/>
      <c r="W93" s="304">
        <f>AQ109</f>
        <v>20</v>
      </c>
      <c r="X93" s="305"/>
      <c r="Y93" s="305"/>
      <c r="Z93" s="308">
        <f>IF(AF143&gt;0,(AQ109/AF143),0)</f>
        <v>0.23529411764705882</v>
      </c>
      <c r="AA93" s="309"/>
      <c r="AB93" s="309"/>
      <c r="AC93" s="325">
        <f>IF(AF157=0,0,(AF149/AF157))</f>
        <v>0.5</v>
      </c>
      <c r="AD93" s="326"/>
      <c r="AE93" s="327"/>
      <c r="AF93" s="331">
        <v>2</v>
      </c>
      <c r="AG93" s="331">
        <v>1</v>
      </c>
      <c r="AH93" s="333">
        <v>5</v>
      </c>
      <c r="AI93" s="334"/>
      <c r="AJ93" s="99"/>
      <c r="AK93" s="100">
        <v>3</v>
      </c>
      <c r="AL93" s="101" t="s">
        <v>23</v>
      </c>
      <c r="AM93" s="101"/>
      <c r="AN93" s="101"/>
      <c r="AO93" s="101"/>
      <c r="AP93" s="101"/>
      <c r="AQ93" s="101"/>
      <c r="AR93" s="102"/>
    </row>
    <row r="94" spans="1:54" ht="18.75" customHeight="1" thickBot="1">
      <c r="A94" s="318"/>
      <c r="B94" s="337" t="s">
        <v>6</v>
      </c>
      <c r="C94" s="338"/>
      <c r="D94" s="339"/>
      <c r="E94" s="340" t="str">
        <f>'AM 9 Team Pool - Rnd 2'!R264</f>
        <v>fj2scmid3pm</v>
      </c>
      <c r="F94" s="341"/>
      <c r="G94" s="341"/>
      <c r="H94" s="341"/>
      <c r="I94" s="341"/>
      <c r="J94" s="341"/>
      <c r="K94" s="341"/>
      <c r="L94" s="306"/>
      <c r="M94" s="307"/>
      <c r="N94" s="307"/>
      <c r="O94" s="307"/>
      <c r="P94" s="307"/>
      <c r="Q94" s="297"/>
      <c r="R94" s="306"/>
      <c r="S94" s="307"/>
      <c r="T94" s="307"/>
      <c r="U94" s="307"/>
      <c r="V94" s="307"/>
      <c r="W94" s="306"/>
      <c r="X94" s="307"/>
      <c r="Y94" s="307"/>
      <c r="Z94" s="310"/>
      <c r="AA94" s="311"/>
      <c r="AB94" s="311"/>
      <c r="AC94" s="328"/>
      <c r="AD94" s="329"/>
      <c r="AE94" s="330"/>
      <c r="AF94" s="332"/>
      <c r="AG94" s="332"/>
      <c r="AH94" s="335"/>
      <c r="AI94" s="336"/>
      <c r="AJ94" s="99"/>
      <c r="AK94" s="100">
        <v>3</v>
      </c>
      <c r="AL94" s="101" t="s">
        <v>190</v>
      </c>
      <c r="AM94" s="99"/>
      <c r="AN94" s="99"/>
      <c r="AO94" s="99"/>
      <c r="AP94" s="99"/>
      <c r="AQ94" s="99"/>
      <c r="AR94" s="46"/>
    </row>
    <row r="95" spans="1:54" ht="18.75" customHeight="1">
      <c r="A95" s="317" t="str">
        <f>IF($AK94&gt;1,"2","")</f>
        <v>2</v>
      </c>
      <c r="B95" s="319" t="s">
        <v>5</v>
      </c>
      <c r="C95" s="320"/>
      <c r="D95" s="321"/>
      <c r="E95" s="322" t="str">
        <f>'AM 9 Team Pool - Rnd 2'!M265</f>
        <v>Excell U12 Devel</v>
      </c>
      <c r="F95" s="323"/>
      <c r="G95" s="323"/>
      <c r="H95" s="323"/>
      <c r="I95" s="323"/>
      <c r="J95" s="323"/>
      <c r="K95" s="324"/>
      <c r="L95" s="304">
        <f>IF($AK95=0,AF150,AF132)</f>
        <v>0</v>
      </c>
      <c r="M95" s="305"/>
      <c r="N95" s="305"/>
      <c r="O95" s="305"/>
      <c r="P95" s="305"/>
      <c r="Q95" s="297"/>
      <c r="R95" s="304">
        <f>IF($AK95=0,AG150,AG132)</f>
        <v>4</v>
      </c>
      <c r="S95" s="305"/>
      <c r="T95" s="305"/>
      <c r="U95" s="305"/>
      <c r="V95" s="305"/>
      <c r="W95" s="304">
        <f>AQ110</f>
        <v>-32</v>
      </c>
      <c r="X95" s="305"/>
      <c r="Y95" s="305"/>
      <c r="Z95" s="308">
        <f>IF(AF144&gt;0,(AQ110/AF144),0)</f>
        <v>-0.36781609195402298</v>
      </c>
      <c r="AA95" s="309"/>
      <c r="AB95" s="309"/>
      <c r="AC95" s="325">
        <f>IF(AF158=0,0,(AF150/AF158))</f>
        <v>0</v>
      </c>
      <c r="AD95" s="326"/>
      <c r="AE95" s="327"/>
      <c r="AF95" s="331">
        <v>3</v>
      </c>
      <c r="AG95" s="331">
        <v>1</v>
      </c>
      <c r="AH95" s="333">
        <v>6</v>
      </c>
      <c r="AI95" s="334"/>
      <c r="AJ95" s="99"/>
      <c r="AK95" s="100">
        <v>0</v>
      </c>
      <c r="AL95" s="101" t="s">
        <v>24</v>
      </c>
      <c r="AM95" s="101"/>
      <c r="AN95" s="101"/>
      <c r="AO95" s="101"/>
      <c r="AP95" s="101"/>
      <c r="AQ95" s="101"/>
      <c r="AR95" s="102"/>
    </row>
    <row r="96" spans="1:54" ht="18.75" customHeight="1" thickBot="1">
      <c r="A96" s="318"/>
      <c r="B96" s="342" t="s">
        <v>6</v>
      </c>
      <c r="C96" s="343"/>
      <c r="D96" s="343"/>
      <c r="E96" s="340" t="str">
        <f>'AM 9 Team Pool - Rnd 2'!R265</f>
        <v>fj2191642pm</v>
      </c>
      <c r="F96" s="341"/>
      <c r="G96" s="341"/>
      <c r="H96" s="341"/>
      <c r="I96" s="341"/>
      <c r="J96" s="341"/>
      <c r="K96" s="341"/>
      <c r="L96" s="306"/>
      <c r="M96" s="307"/>
      <c r="N96" s="307"/>
      <c r="O96" s="307"/>
      <c r="P96" s="307"/>
      <c r="Q96" s="297"/>
      <c r="R96" s="306"/>
      <c r="S96" s="307"/>
      <c r="T96" s="307"/>
      <c r="U96" s="307"/>
      <c r="V96" s="307"/>
      <c r="W96" s="306"/>
      <c r="X96" s="307"/>
      <c r="Y96" s="307"/>
      <c r="Z96" s="310"/>
      <c r="AA96" s="311"/>
      <c r="AB96" s="311"/>
      <c r="AC96" s="328"/>
      <c r="AD96" s="329"/>
      <c r="AE96" s="330"/>
      <c r="AF96" s="332"/>
      <c r="AG96" s="332"/>
      <c r="AH96" s="335"/>
      <c r="AI96" s="336"/>
      <c r="AJ96" s="99"/>
      <c r="AK96" s="100">
        <v>1</v>
      </c>
      <c r="AL96" s="101" t="s">
        <v>25</v>
      </c>
      <c r="AM96" s="99"/>
      <c r="AN96" s="99"/>
      <c r="AO96" s="99"/>
      <c r="AP96" s="99"/>
      <c r="AQ96" s="99"/>
      <c r="AR96" s="46"/>
    </row>
    <row r="97" spans="1:44" ht="18.75" customHeight="1">
      <c r="A97" s="317" t="str">
        <f>IF($AK94&gt;2,"3","")</f>
        <v>3</v>
      </c>
      <c r="B97" s="344" t="s">
        <v>5</v>
      </c>
      <c r="C97" s="345"/>
      <c r="D97" s="345"/>
      <c r="E97" s="322" t="str">
        <f>'AM 9 Team Pool - Rnd 2'!M266</f>
        <v>USA 12 Blue</v>
      </c>
      <c r="F97" s="323"/>
      <c r="G97" s="323"/>
      <c r="H97" s="323"/>
      <c r="I97" s="323"/>
      <c r="J97" s="323"/>
      <c r="K97" s="324"/>
      <c r="L97" s="304">
        <f>IF($AK95=0,AF151,AF133)</f>
        <v>4</v>
      </c>
      <c r="M97" s="305"/>
      <c r="N97" s="305"/>
      <c r="O97" s="305"/>
      <c r="P97" s="305"/>
      <c r="Q97" s="297"/>
      <c r="R97" s="304">
        <f>IF($AK95=0,AG151,AG133)</f>
        <v>0</v>
      </c>
      <c r="S97" s="305"/>
      <c r="T97" s="305"/>
      <c r="U97" s="305"/>
      <c r="V97" s="305"/>
      <c r="W97" s="304">
        <f>AQ111</f>
        <v>12</v>
      </c>
      <c r="X97" s="305"/>
      <c r="Y97" s="305"/>
      <c r="Z97" s="308">
        <f>IF(AF145&gt;0,(AQ111/AF145),0)</f>
        <v>0.15789473684210525</v>
      </c>
      <c r="AA97" s="309"/>
      <c r="AB97" s="309"/>
      <c r="AC97" s="325">
        <f>IF(AF159=0,0,(AF151/AF159))</f>
        <v>1</v>
      </c>
      <c r="AD97" s="326"/>
      <c r="AE97" s="327"/>
      <c r="AF97" s="331">
        <v>1</v>
      </c>
      <c r="AG97" s="331">
        <v>1</v>
      </c>
      <c r="AH97" s="333">
        <v>4</v>
      </c>
      <c r="AI97" s="334"/>
      <c r="AJ97" s="103"/>
      <c r="AK97" s="100">
        <v>4</v>
      </c>
      <c r="AL97" s="152" t="s">
        <v>191</v>
      </c>
      <c r="AM97" s="101"/>
      <c r="AN97" s="101"/>
      <c r="AO97" s="101"/>
      <c r="AP97" s="101"/>
      <c r="AQ97" s="101"/>
      <c r="AR97" s="102"/>
    </row>
    <row r="98" spans="1:44" ht="18.75" customHeight="1" thickBot="1">
      <c r="A98" s="318"/>
      <c r="B98" s="342" t="s">
        <v>6</v>
      </c>
      <c r="C98" s="343"/>
      <c r="D98" s="343"/>
      <c r="E98" s="340" t="str">
        <f>'AM 9 Team Pool - Rnd 2'!R266</f>
        <v>fj2unsel1cr</v>
      </c>
      <c r="F98" s="341"/>
      <c r="G98" s="341"/>
      <c r="H98" s="341"/>
      <c r="I98" s="341"/>
      <c r="J98" s="341"/>
      <c r="K98" s="341"/>
      <c r="L98" s="306"/>
      <c r="M98" s="307"/>
      <c r="N98" s="307"/>
      <c r="O98" s="307"/>
      <c r="P98" s="307"/>
      <c r="Q98" s="297"/>
      <c r="R98" s="306"/>
      <c r="S98" s="307"/>
      <c r="T98" s="307"/>
      <c r="U98" s="307"/>
      <c r="V98" s="307"/>
      <c r="W98" s="306"/>
      <c r="X98" s="307"/>
      <c r="Y98" s="307"/>
      <c r="Z98" s="310"/>
      <c r="AA98" s="311"/>
      <c r="AB98" s="311"/>
      <c r="AC98" s="328"/>
      <c r="AD98" s="329"/>
      <c r="AE98" s="330"/>
      <c r="AF98" s="332"/>
      <c r="AG98" s="332"/>
      <c r="AH98" s="335"/>
      <c r="AI98" s="336"/>
      <c r="AJ98" s="103"/>
      <c r="AK98" s="153"/>
      <c r="AL98" s="154"/>
      <c r="AM98" s="154"/>
      <c r="AN98" s="154"/>
      <c r="AO98" s="154"/>
      <c r="AP98" s="154"/>
      <c r="AQ98" s="99"/>
      <c r="AR98" s="46"/>
    </row>
    <row r="99" spans="1:44" ht="18.75" hidden="1" customHeight="1">
      <c r="A99" s="317" t="str">
        <f>IF($AK94&gt;3,"4","")</f>
        <v/>
      </c>
      <c r="B99" s="344" t="s">
        <v>5</v>
      </c>
      <c r="C99" s="345"/>
      <c r="D99" s="345"/>
      <c r="E99" s="322" t="str">
        <f>AU13</f>
        <v>Team 11</v>
      </c>
      <c r="F99" s="323"/>
      <c r="G99" s="323"/>
      <c r="H99" s="323"/>
      <c r="I99" s="323"/>
      <c r="J99" s="323"/>
      <c r="K99" s="324"/>
      <c r="L99" s="304">
        <f>IF($AK95=0,AF152,AF134)</f>
        <v>0</v>
      </c>
      <c r="M99" s="305"/>
      <c r="N99" s="305"/>
      <c r="O99" s="305"/>
      <c r="P99" s="305"/>
      <c r="Q99" s="297"/>
      <c r="R99" s="304">
        <f>IF($AK95=0,AG152,AG134)</f>
        <v>0</v>
      </c>
      <c r="S99" s="305"/>
      <c r="T99" s="305"/>
      <c r="U99" s="305"/>
      <c r="V99" s="305"/>
      <c r="W99" s="304">
        <f>AQ112</f>
        <v>0</v>
      </c>
      <c r="X99" s="305"/>
      <c r="Y99" s="305"/>
      <c r="Z99" s="308">
        <f>IF(AF146&gt;0,(AQ112/AF146),0)</f>
        <v>0</v>
      </c>
      <c r="AA99" s="309"/>
      <c r="AB99" s="309"/>
      <c r="AC99" s="325">
        <f>IF(AF160=0,0,(AF152/AF160))</f>
        <v>0</v>
      </c>
      <c r="AD99" s="326"/>
      <c r="AE99" s="327"/>
      <c r="AF99" s="331"/>
      <c r="AG99" s="331"/>
      <c r="AH99" s="333"/>
      <c r="AI99" s="334"/>
      <c r="AJ99" s="1"/>
      <c r="AK99" s="154"/>
      <c r="AL99" s="154"/>
      <c r="AM99" s="154"/>
      <c r="AN99" s="154"/>
      <c r="AO99" s="154"/>
      <c r="AP99" s="154"/>
      <c r="AQ99" s="101"/>
      <c r="AR99" s="102"/>
    </row>
    <row r="100" spans="1:44" ht="18.75" hidden="1" customHeight="1" thickBot="1">
      <c r="A100" s="318"/>
      <c r="B100" s="342" t="s">
        <v>6</v>
      </c>
      <c r="C100" s="343"/>
      <c r="D100" s="343"/>
      <c r="E100" s="340" t="str">
        <f>AV13</f>
        <v>Code 11</v>
      </c>
      <c r="F100" s="341"/>
      <c r="G100" s="341"/>
      <c r="H100" s="341"/>
      <c r="I100" s="341"/>
      <c r="J100" s="341"/>
      <c r="K100" s="341"/>
      <c r="L100" s="306"/>
      <c r="M100" s="307"/>
      <c r="N100" s="307"/>
      <c r="O100" s="307"/>
      <c r="P100" s="307"/>
      <c r="Q100" s="297"/>
      <c r="R100" s="306"/>
      <c r="S100" s="307"/>
      <c r="T100" s="307"/>
      <c r="U100" s="307"/>
      <c r="V100" s="307"/>
      <c r="W100" s="306"/>
      <c r="X100" s="307"/>
      <c r="Y100" s="307"/>
      <c r="Z100" s="310"/>
      <c r="AA100" s="311"/>
      <c r="AB100" s="311"/>
      <c r="AC100" s="328"/>
      <c r="AD100" s="329"/>
      <c r="AE100" s="330"/>
      <c r="AF100" s="332"/>
      <c r="AG100" s="332"/>
      <c r="AH100" s="335"/>
      <c r="AI100" s="336"/>
      <c r="AJ100" s="1"/>
      <c r="AK100" s="154"/>
      <c r="AL100" s="154"/>
      <c r="AM100" s="154"/>
      <c r="AN100" s="154"/>
      <c r="AO100" s="154"/>
      <c r="AP100" s="154"/>
      <c r="AQ100" s="1"/>
      <c r="AR100" s="46"/>
    </row>
    <row r="101" spans="1:44" ht="18.75" hidden="1" customHeight="1">
      <c r="A101" s="317" t="str">
        <f>IF($AK94&gt;4,"5","")</f>
        <v/>
      </c>
      <c r="B101" s="344" t="s">
        <v>5</v>
      </c>
      <c r="C101" s="345"/>
      <c r="D101" s="345"/>
      <c r="E101" s="346">
        <f>AU16</f>
        <v>0</v>
      </c>
      <c r="F101" s="347"/>
      <c r="G101" s="347"/>
      <c r="H101" s="347"/>
      <c r="I101" s="347"/>
      <c r="J101" s="347"/>
      <c r="K101" s="348"/>
      <c r="L101" s="304">
        <f>IF($AK95=0,AF153,AF135)</f>
        <v>0</v>
      </c>
      <c r="M101" s="305"/>
      <c r="N101" s="305"/>
      <c r="O101" s="305"/>
      <c r="P101" s="305"/>
      <c r="Q101" s="297"/>
      <c r="R101" s="304">
        <f>IF($AK95=0,AG153,AG135)</f>
        <v>0</v>
      </c>
      <c r="S101" s="305"/>
      <c r="T101" s="305"/>
      <c r="U101" s="305"/>
      <c r="V101" s="305"/>
      <c r="W101" s="304">
        <f>AQ113</f>
        <v>0</v>
      </c>
      <c r="X101" s="305"/>
      <c r="Y101" s="305"/>
      <c r="Z101" s="308">
        <f>IF(AF147&gt;0,(AQ113/AF147),0)</f>
        <v>0</v>
      </c>
      <c r="AA101" s="309"/>
      <c r="AB101" s="309"/>
      <c r="AC101" s="325">
        <f>IF(AF161=0,0,(AF153/AF161))</f>
        <v>0</v>
      </c>
      <c r="AD101" s="326"/>
      <c r="AE101" s="327"/>
      <c r="AF101" s="331"/>
      <c r="AG101" s="331"/>
      <c r="AH101" s="333"/>
      <c r="AI101" s="334"/>
      <c r="AJ101" s="1"/>
      <c r="AK101" s="154"/>
      <c r="AL101" s="154"/>
      <c r="AM101" s="154"/>
      <c r="AN101" s="154"/>
      <c r="AO101" s="154"/>
      <c r="AP101" s="154"/>
      <c r="AQ101" s="1"/>
      <c r="AR101" s="46"/>
    </row>
    <row r="102" spans="1:44" ht="18.75" hidden="1" customHeight="1" thickBot="1">
      <c r="A102" s="318"/>
      <c r="B102" s="359" t="s">
        <v>6</v>
      </c>
      <c r="C102" s="360"/>
      <c r="D102" s="360"/>
      <c r="E102" s="361">
        <f>AV16</f>
        <v>0</v>
      </c>
      <c r="F102" s="362"/>
      <c r="G102" s="362"/>
      <c r="H102" s="362"/>
      <c r="I102" s="362"/>
      <c r="J102" s="362"/>
      <c r="K102" s="362"/>
      <c r="L102" s="349"/>
      <c r="M102" s="350"/>
      <c r="N102" s="350"/>
      <c r="O102" s="350"/>
      <c r="P102" s="350"/>
      <c r="Q102" s="298"/>
      <c r="R102" s="349"/>
      <c r="S102" s="350"/>
      <c r="T102" s="350"/>
      <c r="U102" s="350"/>
      <c r="V102" s="350"/>
      <c r="W102" s="349"/>
      <c r="X102" s="350"/>
      <c r="Y102" s="350"/>
      <c r="Z102" s="351"/>
      <c r="AA102" s="352"/>
      <c r="AB102" s="352"/>
      <c r="AC102" s="353"/>
      <c r="AD102" s="354"/>
      <c r="AE102" s="355"/>
      <c r="AF102" s="356"/>
      <c r="AG102" s="356"/>
      <c r="AH102" s="357"/>
      <c r="AI102" s="358"/>
      <c r="AJ102" s="1"/>
      <c r="AK102" s="154"/>
      <c r="AL102" s="154"/>
      <c r="AM102" s="154"/>
      <c r="AN102" s="154"/>
      <c r="AO102" s="154"/>
      <c r="AP102" s="154"/>
      <c r="AQ102" s="1"/>
      <c r="AR102" s="46"/>
    </row>
    <row r="103" spans="1:44" ht="21" customHeight="1" thickTop="1" thickBot="1">
      <c r="A103" s="106"/>
      <c r="B103" s="363" t="s">
        <v>198</v>
      </c>
      <c r="C103" s="364"/>
      <c r="D103" s="364"/>
      <c r="E103" s="364"/>
      <c r="F103" s="364"/>
      <c r="G103" s="364"/>
      <c r="H103" s="364"/>
      <c r="I103" s="364"/>
      <c r="J103" s="364"/>
      <c r="K103" s="364"/>
      <c r="L103" s="364"/>
      <c r="M103" s="364"/>
      <c r="N103" s="364"/>
      <c r="O103" s="364"/>
      <c r="P103" s="364"/>
      <c r="Q103" s="364"/>
      <c r="R103" s="364"/>
      <c r="S103" s="364"/>
      <c r="T103" s="364"/>
      <c r="U103" s="364"/>
      <c r="V103" s="364"/>
      <c r="W103" s="364"/>
      <c r="X103" s="364"/>
      <c r="Y103" s="364"/>
      <c r="Z103" s="364"/>
      <c r="AA103" s="364"/>
      <c r="AB103" s="364"/>
      <c r="AC103" s="364"/>
      <c r="AD103" s="364"/>
      <c r="AE103" s="364"/>
      <c r="AF103" s="364"/>
      <c r="AG103" s="364"/>
      <c r="AH103" s="364"/>
      <c r="AI103" s="365"/>
      <c r="AJ103" s="1"/>
      <c r="AK103" s="154"/>
      <c r="AL103" s="154"/>
      <c r="AM103" s="154"/>
      <c r="AN103" s="154"/>
      <c r="AO103" s="154"/>
      <c r="AP103" s="154"/>
      <c r="AQ103" s="1"/>
      <c r="AR103" s="46"/>
    </row>
    <row r="104" spans="1:44" ht="13.5" thickTop="1">
      <c r="A104" s="3" t="s">
        <v>27</v>
      </c>
      <c r="B104" s="372">
        <v>0.47916666666666669</v>
      </c>
      <c r="C104" s="373"/>
      <c r="D104" s="374"/>
      <c r="E104" s="372">
        <v>0.5</v>
      </c>
      <c r="F104" s="373"/>
      <c r="G104" s="374"/>
      <c r="H104" s="372">
        <v>0.52083333333333337</v>
      </c>
      <c r="I104" s="373"/>
      <c r="J104" s="374"/>
      <c r="K104" s="372">
        <v>0.47916666666666669</v>
      </c>
      <c r="L104" s="373"/>
      <c r="M104" s="374"/>
      <c r="N104" s="372">
        <v>0.52083333333333337</v>
      </c>
      <c r="O104" s="373"/>
      <c r="P104" s="374"/>
      <c r="Q104" s="372">
        <v>6.25E-2</v>
      </c>
      <c r="R104" s="373"/>
      <c r="S104" s="374"/>
      <c r="T104" s="372"/>
      <c r="U104" s="373"/>
      <c r="V104" s="374"/>
      <c r="W104" s="372"/>
      <c r="X104" s="373"/>
      <c r="Y104" s="374"/>
      <c r="Z104" s="372"/>
      <c r="AA104" s="373"/>
      <c r="AB104" s="374"/>
      <c r="AC104" s="372"/>
      <c r="AD104" s="373"/>
      <c r="AE104" s="374"/>
      <c r="AF104" s="375" t="s">
        <v>199</v>
      </c>
      <c r="AG104" s="376"/>
      <c r="AH104" s="376"/>
      <c r="AI104" s="376"/>
      <c r="AJ104" s="377"/>
      <c r="AK104" s="377"/>
      <c r="AL104" s="377"/>
      <c r="AM104" s="377"/>
      <c r="AN104" s="377"/>
      <c r="AO104" s="377"/>
      <c r="AP104" s="377"/>
      <c r="AQ104" s="378"/>
    </row>
    <row r="105" spans="1:44">
      <c r="A105" s="107" t="s">
        <v>28</v>
      </c>
      <c r="B105" s="383"/>
      <c r="C105" s="384"/>
      <c r="D105" s="385"/>
      <c r="E105" s="383"/>
      <c r="F105" s="384"/>
      <c r="G105" s="385"/>
      <c r="H105" s="383"/>
      <c r="I105" s="384"/>
      <c r="J105" s="385"/>
      <c r="K105" s="383"/>
      <c r="L105" s="384"/>
      <c r="M105" s="385"/>
      <c r="N105" s="383"/>
      <c r="O105" s="384"/>
      <c r="P105" s="385"/>
      <c r="Q105" s="383"/>
      <c r="R105" s="384"/>
      <c r="S105" s="385"/>
      <c r="T105" s="383"/>
      <c r="U105" s="384"/>
      <c r="V105" s="385"/>
      <c r="W105" s="383"/>
      <c r="X105" s="384"/>
      <c r="Y105" s="385"/>
      <c r="Z105" s="383"/>
      <c r="AA105" s="384"/>
      <c r="AB105" s="385"/>
      <c r="AC105" s="383"/>
      <c r="AD105" s="384"/>
      <c r="AE105" s="385"/>
      <c r="AF105" s="375"/>
      <c r="AG105" s="376"/>
      <c r="AH105" s="376"/>
      <c r="AI105" s="376"/>
      <c r="AJ105" s="376"/>
      <c r="AK105" s="376"/>
      <c r="AL105" s="376"/>
      <c r="AM105" s="376"/>
      <c r="AN105" s="376"/>
      <c r="AO105" s="376"/>
      <c r="AP105" s="376"/>
      <c r="AQ105" s="379"/>
    </row>
    <row r="106" spans="1:44">
      <c r="A106" s="107" t="s">
        <v>29</v>
      </c>
      <c r="B106" s="383"/>
      <c r="C106" s="384"/>
      <c r="D106" s="385"/>
      <c r="E106" s="383"/>
      <c r="F106" s="384"/>
      <c r="G106" s="385"/>
      <c r="H106" s="383"/>
      <c r="I106" s="384"/>
      <c r="J106" s="385"/>
      <c r="K106" s="383"/>
      <c r="L106" s="384"/>
      <c r="M106" s="385"/>
      <c r="N106" s="383"/>
      <c r="O106" s="384"/>
      <c r="P106" s="385"/>
      <c r="Q106" s="383"/>
      <c r="R106" s="384"/>
      <c r="S106" s="385"/>
      <c r="T106" s="383"/>
      <c r="U106" s="384"/>
      <c r="V106" s="385"/>
      <c r="W106" s="383"/>
      <c r="X106" s="384"/>
      <c r="Y106" s="385"/>
      <c r="Z106" s="383"/>
      <c r="AA106" s="384"/>
      <c r="AB106" s="385"/>
      <c r="AC106" s="383"/>
      <c r="AD106" s="384"/>
      <c r="AE106" s="385"/>
      <c r="AF106" s="375"/>
      <c r="AG106" s="376"/>
      <c r="AH106" s="376"/>
      <c r="AI106" s="376"/>
      <c r="AJ106" s="376"/>
      <c r="AK106" s="376"/>
      <c r="AL106" s="376"/>
      <c r="AM106" s="376"/>
      <c r="AN106" s="376"/>
      <c r="AO106" s="376"/>
      <c r="AP106" s="376"/>
      <c r="AQ106" s="379"/>
    </row>
    <row r="107" spans="1:44" ht="13.5" thickBot="1">
      <c r="A107" s="1"/>
      <c r="B107" s="386" t="s">
        <v>30</v>
      </c>
      <c r="C107" s="387"/>
      <c r="D107" s="388"/>
      <c r="E107" s="386" t="str">
        <f>IF(AK93&gt;1,"Match 2","")</f>
        <v>Match 2</v>
      </c>
      <c r="F107" s="387"/>
      <c r="G107" s="388"/>
      <c r="H107" s="386" t="str">
        <f>IF(AK93&gt;2,"Match 3","")</f>
        <v>Match 3</v>
      </c>
      <c r="I107" s="387"/>
      <c r="J107" s="388"/>
      <c r="K107" s="386" t="str">
        <f>IF(AK93&gt;3,"Match 4","")</f>
        <v/>
      </c>
      <c r="L107" s="387"/>
      <c r="M107" s="388"/>
      <c r="N107" s="386" t="str">
        <f>IF(AK93&gt;4,"Match 5","")</f>
        <v/>
      </c>
      <c r="O107" s="387"/>
      <c r="P107" s="388"/>
      <c r="Q107" s="386" t="str">
        <f>IF(AK93&gt;5,"Match 6","")</f>
        <v/>
      </c>
      <c r="R107" s="387"/>
      <c r="S107" s="388"/>
      <c r="T107" s="386" t="str">
        <f>IF(AK93&gt;6,"Match 7","")</f>
        <v/>
      </c>
      <c r="U107" s="387"/>
      <c r="V107" s="388"/>
      <c r="W107" s="386" t="str">
        <f>IF(AK93&gt;7,"Match 8","")</f>
        <v/>
      </c>
      <c r="X107" s="387"/>
      <c r="Y107" s="388"/>
      <c r="Z107" s="386" t="str">
        <f>IF(AK93&gt;8,"Match 9","")</f>
        <v/>
      </c>
      <c r="AA107" s="387"/>
      <c r="AB107" s="388"/>
      <c r="AC107" s="386" t="str">
        <f>IF(AK93&gt;9,"Match 10","")</f>
        <v/>
      </c>
      <c r="AD107" s="387"/>
      <c r="AE107" s="388"/>
      <c r="AF107" s="380"/>
      <c r="AG107" s="381"/>
      <c r="AH107" s="381"/>
      <c r="AI107" s="381"/>
      <c r="AJ107" s="381"/>
      <c r="AK107" s="381"/>
      <c r="AL107" s="381"/>
      <c r="AM107" s="381"/>
      <c r="AN107" s="381"/>
      <c r="AO107" s="381"/>
      <c r="AP107" s="381"/>
      <c r="AQ107" s="382"/>
    </row>
    <row r="108" spans="1:44" ht="15.75">
      <c r="A108" s="1"/>
      <c r="B108" s="389" t="s">
        <v>33</v>
      </c>
      <c r="C108" s="390"/>
      <c r="D108" s="391"/>
      <c r="E108" s="389" t="s">
        <v>31</v>
      </c>
      <c r="F108" s="390"/>
      <c r="G108" s="391"/>
      <c r="H108" s="389" t="s">
        <v>32</v>
      </c>
      <c r="I108" s="390"/>
      <c r="J108" s="391"/>
      <c r="K108" s="389"/>
      <c r="L108" s="390"/>
      <c r="M108" s="391"/>
      <c r="N108" s="389"/>
      <c r="O108" s="390"/>
      <c r="P108" s="391"/>
      <c r="Q108" s="389"/>
      <c r="R108" s="390"/>
      <c r="S108" s="391"/>
      <c r="T108" s="389"/>
      <c r="U108" s="390"/>
      <c r="V108" s="391"/>
      <c r="W108" s="389"/>
      <c r="X108" s="390"/>
      <c r="Y108" s="391"/>
      <c r="Z108" s="389"/>
      <c r="AA108" s="390"/>
      <c r="AB108" s="391"/>
      <c r="AC108" s="389"/>
      <c r="AD108" s="390"/>
      <c r="AE108" s="391"/>
      <c r="AF108" s="160" t="s">
        <v>34</v>
      </c>
      <c r="AG108" s="108">
        <v>1</v>
      </c>
      <c r="AH108" s="108">
        <v>2</v>
      </c>
      <c r="AI108" s="108">
        <v>3</v>
      </c>
      <c r="AJ108" s="108">
        <v>4</v>
      </c>
      <c r="AK108" s="108">
        <v>5</v>
      </c>
      <c r="AL108" s="108">
        <v>6</v>
      </c>
      <c r="AM108" s="108">
        <v>7</v>
      </c>
      <c r="AN108" s="108">
        <v>8</v>
      </c>
      <c r="AO108" s="108">
        <v>9</v>
      </c>
      <c r="AP108" s="108">
        <v>10</v>
      </c>
      <c r="AQ108" s="161" t="s">
        <v>200</v>
      </c>
    </row>
    <row r="109" spans="1:44" ht="15.75">
      <c r="A109" s="1"/>
      <c r="B109" s="109">
        <v>1</v>
      </c>
      <c r="C109" s="110" t="s">
        <v>35</v>
      </c>
      <c r="D109" s="111">
        <v>2</v>
      </c>
      <c r="E109" s="109">
        <v>2</v>
      </c>
      <c r="F109" s="110" t="str">
        <f>IF(AK93&gt;1,"v","")</f>
        <v>v</v>
      </c>
      <c r="G109" s="111">
        <v>3</v>
      </c>
      <c r="H109" s="109">
        <v>1</v>
      </c>
      <c r="I109" s="110" t="str">
        <f>IF(AK93&gt;2,"v","")</f>
        <v>v</v>
      </c>
      <c r="J109" s="111">
        <v>3</v>
      </c>
      <c r="K109" s="109"/>
      <c r="L109" s="110" t="str">
        <f>IF(AK93&gt;3,"v","")</f>
        <v/>
      </c>
      <c r="M109" s="111"/>
      <c r="N109" s="109"/>
      <c r="O109" s="110" t="str">
        <f>IF(AK93&gt;4,"v","")</f>
        <v/>
      </c>
      <c r="P109" s="111"/>
      <c r="Q109" s="109"/>
      <c r="R109" s="110" t="str">
        <f>IF(AK93&gt;5,"v","")</f>
        <v/>
      </c>
      <c r="S109" s="111"/>
      <c r="T109" s="109"/>
      <c r="U109" s="110" t="str">
        <f>IF(AK93&gt;6,"v","")</f>
        <v/>
      </c>
      <c r="V109" s="111"/>
      <c r="W109" s="109"/>
      <c r="X109" s="110" t="str">
        <f>IF(AK93&gt;7,"v","")</f>
        <v/>
      </c>
      <c r="Y109" s="111"/>
      <c r="Z109" s="109"/>
      <c r="AA109" s="110" t="str">
        <f>IF(AK93&gt;8,"v","")</f>
        <v/>
      </c>
      <c r="AB109" s="111"/>
      <c r="AC109" s="109"/>
      <c r="AD109" s="110" t="str">
        <f>IF(AK93&gt;9,"v","")</f>
        <v/>
      </c>
      <c r="AE109" s="111"/>
      <c r="AF109" s="160" t="str">
        <f>IF(AK94&gt;0,"Team 1","")</f>
        <v>Team 1</v>
      </c>
      <c r="AG109" s="162">
        <f>IF(AK94&lt;1,"",IF(AK93&lt;1,"",IF(B109=1,B115-D115,IF(D109=1,D115-B115,""))))</f>
        <v>23</v>
      </c>
      <c r="AH109" s="162" t="str">
        <f>IF(AK94&lt;1,"",IF(AK93&lt;2,"",IF(E109=1,E115-G115,IF(G109=1,G115-E115,""))))</f>
        <v/>
      </c>
      <c r="AI109" s="162">
        <f>IF(AK94&lt;1,"",IF(AK93&lt;3,"",IF(H109=1,H115-J115,IF(J109=1,J115-H115,""))))</f>
        <v>-3</v>
      </c>
      <c r="AJ109" s="162" t="str">
        <f>IF(AK94&lt;1,"",IF(AK93&lt;4,"",IF(K109=1,K115-M115,IF(M109=1,M115-K115,""))))</f>
        <v/>
      </c>
      <c r="AK109" s="162" t="str">
        <f>IF(AK94&lt;1,"",IF(AK93&lt;5,"",IF(N109=1,N115-P115,IF(P109=1,P115-N115,""))))</f>
        <v/>
      </c>
      <c r="AL109" s="162" t="str">
        <f>IF(AK94&lt;1,"",IF(AK93&lt;6,"",IF(Q109=1,Q115-S115,IF(S109=1,S115-Q115,""))))</f>
        <v/>
      </c>
      <c r="AM109" s="162" t="str">
        <f>IF(AK94&lt;1,"",IF(AK93&lt;7,"",IF(T109=1,T115-V115,IF(V109=1,V115-T115,""))))</f>
        <v/>
      </c>
      <c r="AN109" s="162" t="str">
        <f>IF(AK94&lt;1,"",IF(AK93&lt;8,"",IF(W109=1,W115-Y115,IF(Y109=1,Y115-W115,""))))</f>
        <v/>
      </c>
      <c r="AO109" s="162" t="str">
        <f>IF(AK94&lt;1,"",IF(AK93&lt;9,"",IF(Z109=1,Z115-AB115,IF(AB109=1,AB115-Z115,""))))</f>
        <v/>
      </c>
      <c r="AP109" s="162" t="str">
        <f>IF(AK94&lt;1,"",IF(AK93&lt;10,"",IF(AC109=1,AC115-AE115,IF(AE109=1,AE115-AC115,""))))</f>
        <v/>
      </c>
      <c r="AQ109" s="161">
        <f>SUM(AG109:AP109)</f>
        <v>20</v>
      </c>
    </row>
    <row r="110" spans="1:44" ht="15">
      <c r="A110" s="3" t="s">
        <v>36</v>
      </c>
      <c r="B110" s="112">
        <v>20</v>
      </c>
      <c r="C110" s="113" t="s">
        <v>37</v>
      </c>
      <c r="D110" s="114">
        <v>13</v>
      </c>
      <c r="E110" s="112">
        <v>15</v>
      </c>
      <c r="F110" s="113" t="str">
        <f>IF(AK93&gt;1,"/","")</f>
        <v>/</v>
      </c>
      <c r="G110" s="114">
        <v>21</v>
      </c>
      <c r="H110" s="112">
        <v>16</v>
      </c>
      <c r="I110" s="113" t="str">
        <f>IF(AK93&gt;2,"/","")</f>
        <v>/</v>
      </c>
      <c r="J110" s="114">
        <v>18</v>
      </c>
      <c r="K110" s="112"/>
      <c r="L110" s="113" t="str">
        <f>IF(AK93&gt;3,"/","")</f>
        <v/>
      </c>
      <c r="M110" s="114"/>
      <c r="N110" s="112"/>
      <c r="O110" s="113" t="str">
        <f>IF(AK93&gt;4,"/","")</f>
        <v/>
      </c>
      <c r="P110" s="114"/>
      <c r="Q110" s="112"/>
      <c r="R110" s="113" t="str">
        <f>IF(AK93&gt;5,"/","")</f>
        <v/>
      </c>
      <c r="S110" s="114"/>
      <c r="T110" s="112"/>
      <c r="U110" s="113" t="str">
        <f>IF(AK93&gt;6,"/","")</f>
        <v/>
      </c>
      <c r="V110" s="114"/>
      <c r="W110" s="112"/>
      <c r="X110" s="113" t="str">
        <f>IF(AK93&gt;7,"/","")</f>
        <v/>
      </c>
      <c r="Y110" s="114"/>
      <c r="Z110" s="112"/>
      <c r="AA110" s="113" t="str">
        <f>IF(AK93&gt;8,"/","")</f>
        <v/>
      </c>
      <c r="AB110" s="114"/>
      <c r="AC110" s="112"/>
      <c r="AD110" s="113" t="str">
        <f>IF(AK93&gt;9,"/","")</f>
        <v/>
      </c>
      <c r="AE110" s="114"/>
      <c r="AF110" s="160" t="str">
        <f>IF(AK94&gt;1,"Team 2","")</f>
        <v>Team 2</v>
      </c>
      <c r="AG110" s="162">
        <f>IF(AK94&lt;2,"",IF(AK93&lt;1,"",IF(B109=2,B115-D115,IF(D109=2,D115-B115,""))))</f>
        <v>-23</v>
      </c>
      <c r="AH110" s="162">
        <f>IF(AK94&lt;2,"",IF(AK93&lt;2,"",IF(E109=2,E115-G115,IF(G109=2,G115-E115,""))))</f>
        <v>-9</v>
      </c>
      <c r="AI110" s="162" t="str">
        <f>IF(AK94&lt;2,"",IF(AK93&lt;3,"",IF(H109=2,H115-J115,IF(J109=2,J115-H115,""))))</f>
        <v/>
      </c>
      <c r="AJ110" s="162" t="str">
        <f>IF(AK94&lt;2,"",IF(AK93&lt;4,"",IF(K109=2,K115-M115,IF(M109=2,M115-K115,""))))</f>
        <v/>
      </c>
      <c r="AK110" s="162" t="str">
        <f>IF(AK94&lt;2,"",IF(AK93&lt;5,"",IF(N109=2,N115-P115,IF(P109=2,P115-N115,""))))</f>
        <v/>
      </c>
      <c r="AL110" s="162" t="str">
        <f>IF(AK94&lt;2,"",IF(AK93&lt;6,"",IF(Q109=2,Q115-S115,IF(S109=2,S115-Q115,""))))</f>
        <v/>
      </c>
      <c r="AM110" s="162" t="str">
        <f>IF(AK94&lt;2,"",IF(AK93&lt;7,"",IF(T109=2,T115-V115,IF(V109=2,V115-T115,""))))</f>
        <v/>
      </c>
      <c r="AN110" s="162" t="str">
        <f>IF(AK94&lt;2,"",IF(AK93&lt;8,"",IF(W109=2,W115-Y115,IF(Y109=2,Y115-W115,""))))</f>
        <v/>
      </c>
      <c r="AO110" s="162" t="str">
        <f>IF(AK94&lt;2,"",IF(AK93&lt;9,"",IF(Z109=2,Z115-AB115,IF(AB109=2,AB115-Z115,""))))</f>
        <v/>
      </c>
      <c r="AP110" s="162" t="str">
        <f>IF(AK94&lt;2,"",IF(AK93&lt;10,"",IF(AC109=2,AC115-AE115,IF(AE109=2,AE115-AC115,""))))</f>
        <v/>
      </c>
      <c r="AQ110" s="161">
        <f>SUM(AG110:AP110)</f>
        <v>-32</v>
      </c>
    </row>
    <row r="111" spans="1:44" ht="15">
      <c r="A111" s="46" t="str">
        <f>IF(AK92&gt;1,"Game 2","")</f>
        <v>Game 2</v>
      </c>
      <c r="B111" s="112">
        <v>28</v>
      </c>
      <c r="C111" s="113" t="s">
        <v>37</v>
      </c>
      <c r="D111" s="114">
        <v>12</v>
      </c>
      <c r="E111" s="112">
        <v>15</v>
      </c>
      <c r="F111" s="113" t="str">
        <f>IF(AK93&gt;1,IF(AK92&gt;1,"/",""),"")</f>
        <v>/</v>
      </c>
      <c r="G111" s="114">
        <v>18</v>
      </c>
      <c r="H111" s="112">
        <v>18</v>
      </c>
      <c r="I111" s="113" t="str">
        <f>IF(AK93&gt;2,IF(AK92&gt;1,"/",""),"")</f>
        <v>/</v>
      </c>
      <c r="J111" s="114">
        <v>19</v>
      </c>
      <c r="K111" s="112"/>
      <c r="L111" s="113" t="str">
        <f>IF(AK93&gt;3,IF(AK92&gt;1,"/",""),"")</f>
        <v/>
      </c>
      <c r="M111" s="114"/>
      <c r="N111" s="112"/>
      <c r="O111" s="113" t="str">
        <f>IF(AK93&gt;4,IF(AK92&gt;1,"/",""),"")</f>
        <v/>
      </c>
      <c r="P111" s="114"/>
      <c r="Q111" s="112"/>
      <c r="R111" s="113" t="str">
        <f>IF(AK93&gt;5,IF(AK92&gt;1,"/",""),"")</f>
        <v/>
      </c>
      <c r="S111" s="114"/>
      <c r="T111" s="112"/>
      <c r="U111" s="113" t="str">
        <f>IF(AK93&gt;6,IF(AK92&gt;1,"/",""),"")</f>
        <v/>
      </c>
      <c r="V111" s="114"/>
      <c r="W111" s="112"/>
      <c r="X111" s="113" t="str">
        <f>IF(AK93&gt;7,IF(AK92&gt;1,"/",""),"")</f>
        <v/>
      </c>
      <c r="Y111" s="114"/>
      <c r="Z111" s="112"/>
      <c r="AA111" s="113" t="str">
        <f>IF(AK93&gt;8,IF(AK92&gt;1,"/",""),"")</f>
        <v/>
      </c>
      <c r="AB111" s="114"/>
      <c r="AC111" s="112"/>
      <c r="AD111" s="113" t="str">
        <f>IF(AK93&gt;9,IF(AK92&gt;1,"/",""),"")</f>
        <v/>
      </c>
      <c r="AE111" s="114"/>
      <c r="AF111" s="160" t="str">
        <f>IF(AK94&gt;2,"Team 3","")</f>
        <v>Team 3</v>
      </c>
      <c r="AG111" s="162" t="str">
        <f>IF(AK94&lt;3,"",IF(AK93&lt;1,"",IF(B109=3,B115-D115,IF(D109=3,D115-B115,""))))</f>
        <v/>
      </c>
      <c r="AH111" s="162">
        <f>IF(AK94&lt;3,"",IF(AK93&lt;2,"",IF(E109=3,E115-G115,IF(G109=3,G115-E115,""))))</f>
        <v>9</v>
      </c>
      <c r="AI111" s="162">
        <f>IF(AK94&lt;3,"",IF(AK93&lt;3,"",IF(H109=3,H115-J115,IF(J109=3,J115-H115,""))))</f>
        <v>3</v>
      </c>
      <c r="AJ111" s="162" t="str">
        <f>IF(AK94&lt;3,"",IF(AK93&lt;4,"",IF(K109=3,K115-M115,IF(M109=3,M115-K115,""))))</f>
        <v/>
      </c>
      <c r="AK111" s="162" t="str">
        <f>IF(AK94&lt;3,"",IF(AK93&lt;5,"",IF(N109=3,N115-P115,IF(P109=3,P115-N115,""))))</f>
        <v/>
      </c>
      <c r="AL111" s="162" t="str">
        <f>IF(AK94&lt;3,"",IF(AK93&lt;6,"",IF(Q109=3,Q115-S115,IF(S109=3,S115-Q115,""))))</f>
        <v/>
      </c>
      <c r="AM111" s="162" t="str">
        <f>IF(AK94&lt;3,"",IF(AK93&lt;7,"",IF(T109=3,T115-V115,IF(V109=3,V115-T115,""))))</f>
        <v/>
      </c>
      <c r="AN111" s="162" t="str">
        <f>IF(AK94&lt;3,"",IF(AK93&lt;8,"",IF(W109=3,W115-Y115,IF(Y109=3,Y115-W115,""))))</f>
        <v/>
      </c>
      <c r="AO111" s="162" t="str">
        <f>IF(AK94&lt;3,"",IF(AK93&lt;9,"",IF(Z109=3,Z115-AB115,IF(AB109=3,AB115-Z115,""))))</f>
        <v/>
      </c>
      <c r="AP111" s="162" t="str">
        <f>IF(AK94&lt;3,"",IF(AK93&lt;9,"",IF(AC109=3,AC115-AE115,IF(AE109=3,AE115-AC115,""))))</f>
        <v/>
      </c>
      <c r="AQ111" s="161">
        <f>SUM(AG111:AP111)</f>
        <v>12</v>
      </c>
    </row>
    <row r="112" spans="1:44" ht="15" hidden="1">
      <c r="A112" s="46" t="str">
        <f>IF(AK92&gt;2,"Game 3","")</f>
        <v/>
      </c>
      <c r="B112" s="112"/>
      <c r="C112" s="113" t="s">
        <v>37</v>
      </c>
      <c r="D112" s="114"/>
      <c r="E112" s="112"/>
      <c r="F112" s="113" t="str">
        <f>IF(AK93&gt;1,IF(AK92&gt;2,"/",""),"")</f>
        <v/>
      </c>
      <c r="G112" s="114"/>
      <c r="H112" s="112"/>
      <c r="I112" s="113" t="str">
        <f>IF(AK93&gt;2,IF(AK92&gt;2,"/",""),"")</f>
        <v/>
      </c>
      <c r="J112" s="114"/>
      <c r="K112" s="112"/>
      <c r="L112" s="113" t="str">
        <f>IF(AK93&gt;3,IF(AK92&gt;2,"/",""),"")</f>
        <v/>
      </c>
      <c r="M112" s="114"/>
      <c r="N112" s="112"/>
      <c r="O112" s="113" t="str">
        <f>IF(AK93&gt;4,IF(AK92&gt;2,"/",""),"")</f>
        <v/>
      </c>
      <c r="P112" s="114"/>
      <c r="Q112" s="112"/>
      <c r="R112" s="113" t="str">
        <f>IF(AK93&gt;5,IF(AK92&gt;2,"/",""),"")</f>
        <v/>
      </c>
      <c r="S112" s="114"/>
      <c r="T112" s="112"/>
      <c r="U112" s="113" t="str">
        <f>IF(AK93&gt;6,IF(AK92&gt;2,"/",""),"")</f>
        <v/>
      </c>
      <c r="V112" s="114"/>
      <c r="W112" s="112"/>
      <c r="X112" s="113" t="str">
        <f>IF(AK93&gt;7,IF(AK92&gt;2,"/",""),"")</f>
        <v/>
      </c>
      <c r="Y112" s="114"/>
      <c r="Z112" s="112"/>
      <c r="AA112" s="113" t="str">
        <f>IF(AK93&gt;8,IF(AK92&gt;2,"/",""),"")</f>
        <v/>
      </c>
      <c r="AB112" s="114"/>
      <c r="AC112" s="112"/>
      <c r="AD112" s="113" t="str">
        <f>IF(AK93&gt;9,IF(AK92&gt;2,"/",""),"")</f>
        <v/>
      </c>
      <c r="AE112" s="114"/>
      <c r="AF112" s="160" t="str">
        <f>IF(AK94&gt;3,"Team 4","")</f>
        <v/>
      </c>
      <c r="AG112" s="162" t="str">
        <f>IF(AK94&lt;4,"",IF(AK93&lt;1,"",IF(B109=4,B115-D115,IF(D109=4,D115-B115,""))))</f>
        <v/>
      </c>
      <c r="AH112" s="162" t="str">
        <f>IF(AK94&lt;4,"",IF(AK93&lt;2,"",IF(E109=4,E115-G115,IF(G109=4,G115-E115,""))))</f>
        <v/>
      </c>
      <c r="AI112" s="162" t="str">
        <f>IF(AK94&lt;4,"",IF(AK93&lt;3,"",IF(H109=4,H115-J115,IF(J109=4,J115-H115,""))))</f>
        <v/>
      </c>
      <c r="AJ112" s="162" t="str">
        <f>IF(AK94&lt;4,"",IF(AK93&lt;4,"",IF(K109=4,K115-M115,IF(M109=4,M115-K115,""))))</f>
        <v/>
      </c>
      <c r="AK112" s="162" t="str">
        <f>IF(AK94&lt;4,"",IF(AK93&lt;5,"",IF(N109=4,N115-P115,IF(P109=4,P115-N115,""))))</f>
        <v/>
      </c>
      <c r="AL112" s="162" t="str">
        <f>IF(AK94&lt;4,"",IF(AK93&lt;6,"",IF(Q109=4,Q115-S115,IF(S109=4,S115-Q115,""))))</f>
        <v/>
      </c>
      <c r="AM112" s="162" t="str">
        <f>IF(AK94&lt;4,"",IF(AK93&lt;7,"",IF(T109=4,T115-V115,IF(V109=4,V115-T115,""))))</f>
        <v/>
      </c>
      <c r="AN112" s="162" t="str">
        <f>IF(AK94&lt;4,"",IF(AK93&lt;8,"",IF(W109=4,W115-Y115,IF(Y109=4,Y115-W115,""))))</f>
        <v/>
      </c>
      <c r="AO112" s="162" t="str">
        <f>IF(AK94&lt;4,"",IF(AK93&lt;9,"",IF(Z109=4,Z115-AB115,IF(AB109=4,AB115-Z115,""))))</f>
        <v/>
      </c>
      <c r="AP112" s="162" t="str">
        <f>IF(AK94&lt;4,"",IF(AK93&lt;10,"",IF(AC109=4,AC115-AE115,IF(AE109=4,AE115-AC115,""))))</f>
        <v/>
      </c>
      <c r="AQ112" s="161">
        <f>SUM(AG112:AP112)</f>
        <v>0</v>
      </c>
    </row>
    <row r="113" spans="1:51" ht="15" hidden="1">
      <c r="A113" s="46" t="str">
        <f>IF(AK92&gt;3,"Game 4","")</f>
        <v/>
      </c>
      <c r="B113" s="112"/>
      <c r="C113" s="113" t="s">
        <v>37</v>
      </c>
      <c r="D113" s="114"/>
      <c r="E113" s="112"/>
      <c r="F113" s="113" t="str">
        <f>IF(AK93&gt;1,IF(AK92&gt;3,"/",""),"")</f>
        <v/>
      </c>
      <c r="G113" s="114"/>
      <c r="H113" s="112"/>
      <c r="I113" s="113" t="str">
        <f>IF(AK93&gt;2,IF(AK92&gt;3,"/",""),"")</f>
        <v/>
      </c>
      <c r="J113" s="114"/>
      <c r="K113" s="112"/>
      <c r="L113" s="113" t="str">
        <f>IF(AK93&gt;3,IF(AK92&gt;3,"/",""),"")</f>
        <v/>
      </c>
      <c r="M113" s="114"/>
      <c r="N113" s="112"/>
      <c r="O113" s="113" t="str">
        <f>IF(AK93&gt;4,IF(AK92&gt;3,"/",""),"")</f>
        <v/>
      </c>
      <c r="P113" s="114"/>
      <c r="Q113" s="112"/>
      <c r="R113" s="113" t="str">
        <f>IF(AK93&gt;5,IF(AK92&gt;3,"/",""),"")</f>
        <v/>
      </c>
      <c r="S113" s="114"/>
      <c r="T113" s="112"/>
      <c r="U113" s="113" t="str">
        <f>IF(AK93&gt;6,IF(AK92&gt;3,"/",""),"")</f>
        <v/>
      </c>
      <c r="V113" s="114"/>
      <c r="W113" s="112"/>
      <c r="X113" s="113" t="str">
        <f>IF(AK93&gt;7,IF(AK92&gt;3,"/",""),"")</f>
        <v/>
      </c>
      <c r="Y113" s="114"/>
      <c r="Z113" s="112"/>
      <c r="AA113" s="113" t="str">
        <f>IF(AK93&gt;8,IF(AK92&gt;3,"/",""),"")</f>
        <v/>
      </c>
      <c r="AB113" s="114"/>
      <c r="AC113" s="112"/>
      <c r="AD113" s="113" t="str">
        <f>IF(AK93&gt;9,IF(AK92&gt;3,"/",""),"")</f>
        <v/>
      </c>
      <c r="AE113" s="114"/>
      <c r="AF113" s="160" t="str">
        <f>IF(AK94&gt;4,"Team 5","")</f>
        <v/>
      </c>
      <c r="AG113" s="163" t="str">
        <f>IF(AK94&lt;5,"",IF(AK93&lt;1,"",IF(B109=5,B115-D115,IF(D109=5,D115-B115,""))))</f>
        <v/>
      </c>
      <c r="AH113" s="162" t="str">
        <f>IF(AK94&lt;5,"",IF(AK93&lt;2,"",IF(E109=5,E115-G115,IF(G109=5,G115-E115,""))))</f>
        <v/>
      </c>
      <c r="AI113" s="162" t="str">
        <f>IF(AK94&lt;5,"",IF(AK93&lt;3,"",IF(H109=5,H115-J115,IF(J109=5,J115-H115,""))))</f>
        <v/>
      </c>
      <c r="AJ113" s="162" t="str">
        <f>IF(AK94&lt;5,"",IF(AK93&lt;4,"",IF(K109=5,K115-M115,IF(M109=5,M115-K115,""))))</f>
        <v/>
      </c>
      <c r="AK113" s="162" t="str">
        <f>IF(AK94&lt;5,"",IF(AK93&lt;5,"",IF(N109=5,N115-P115,IF(P109=5,P115-N115,""))))</f>
        <v/>
      </c>
      <c r="AL113" s="162" t="str">
        <f>IF(AK94&lt;5,"",IF(AK93&lt;6,"",IF(Q109=5,Q115-S115,IF(S109=5,S115-Q115,""))))</f>
        <v/>
      </c>
      <c r="AM113" s="162" t="str">
        <f>IF(AK94&lt;5,"",IF(AK93&lt;7,"",IF(T109=5,T115-V115,IF(V109=5,V115-T115,""))))</f>
        <v/>
      </c>
      <c r="AN113" s="162" t="str">
        <f>IF(AK94&lt;5,"",IF(AK93&lt;8,"",IF(W109=5,W115-Y115,IF(Y109=5,Y115-W115,""))))</f>
        <v/>
      </c>
      <c r="AO113" s="162" t="str">
        <f>IF(AK94&lt;5,"",IF(AK93&lt;9,"",IF(Z109=5,Z115-AB115,IF(AB109=5,AB115-Z115,""))))</f>
        <v/>
      </c>
      <c r="AP113" s="162" t="str">
        <f>IF(AK94&lt;5,"",IF(AK93&lt;10,"",IF(AC109=5,AC115-AE115,IF(AE109=5,AE115-AC115,""))))</f>
        <v/>
      </c>
      <c r="AQ113" s="161">
        <f>SUM(AG113:AP113)</f>
        <v>0</v>
      </c>
    </row>
    <row r="114" spans="1:51" ht="15">
      <c r="A114" s="46" t="str">
        <f>IF(AK92&gt;4,"Game 5","")</f>
        <v/>
      </c>
      <c r="B114" s="112"/>
      <c r="C114" s="113" t="s">
        <v>37</v>
      </c>
      <c r="D114" s="114"/>
      <c r="E114" s="112"/>
      <c r="F114" s="113" t="str">
        <f>IF(AK93&gt;1,IF(AK92&gt;4,"/",""),"")</f>
        <v/>
      </c>
      <c r="G114" s="114"/>
      <c r="H114" s="112"/>
      <c r="I114" s="113" t="str">
        <f>IF(AK93&gt;2,IF(AK92&gt;4,"/",""),"")</f>
        <v/>
      </c>
      <c r="J114" s="114"/>
      <c r="K114" s="112"/>
      <c r="L114" s="113" t="str">
        <f>IF(AK93&gt;3,IF(AK92&gt;4,"/",""),"")</f>
        <v/>
      </c>
      <c r="M114" s="114"/>
      <c r="N114" s="112"/>
      <c r="O114" s="113" t="str">
        <f>IF(AK93&gt;4,IF(AK92&gt;4,"/",""),"")</f>
        <v/>
      </c>
      <c r="P114" s="114"/>
      <c r="Q114" s="112"/>
      <c r="R114" s="113" t="str">
        <f>IF(AK93&gt;5,IF(AK92&gt;4,"/",""),"")</f>
        <v/>
      </c>
      <c r="S114" s="114"/>
      <c r="T114" s="112"/>
      <c r="U114" s="113" t="str">
        <f>IF(AK93&gt;6,IF(AK92&gt;4,"/",""),"")</f>
        <v/>
      </c>
      <c r="V114" s="114"/>
      <c r="W114" s="112"/>
      <c r="X114" s="113" t="str">
        <f>IF(AK93&gt;7,IF(AK92&gt;4,"/",""),"")</f>
        <v/>
      </c>
      <c r="Y114" s="114"/>
      <c r="Z114" s="112"/>
      <c r="AA114" s="113" t="str">
        <f>IF(AK93&gt;8,IF(AK92&gt;4,"/",""),"")</f>
        <v/>
      </c>
      <c r="AB114" s="114"/>
      <c r="AC114" s="112"/>
      <c r="AD114" s="113" t="str">
        <f>IF(AK93&gt;9,IF(AK92&gt;4,"/",""),"")</f>
        <v/>
      </c>
      <c r="AE114" s="114"/>
      <c r="AF114" s="1"/>
      <c r="AG114" s="1"/>
      <c r="AH114" s="1"/>
      <c r="AI114" s="1"/>
      <c r="AJ114" s="1"/>
      <c r="AK114" s="1"/>
      <c r="AL114" s="1"/>
      <c r="AM114" s="1"/>
      <c r="AN114" s="1"/>
      <c r="AO114" s="1"/>
      <c r="AP114" s="1"/>
      <c r="AQ114" s="1"/>
    </row>
    <row r="115" spans="1:51" hidden="1">
      <c r="A115" s="116"/>
      <c r="B115" s="116">
        <f>IF($AK92=5,SUM(B110:B114),IF($AK92=4,SUM(B110:B113),IF($AK92=3,SUM(B110:B112),IF($AK92=2,SUM(B110:B111),B110))))</f>
        <v>48</v>
      </c>
      <c r="C115" s="116"/>
      <c r="D115" s="116">
        <f>IF($AK92=5,SUM(D110:D114),IF($AK92=4,SUM(D110:D113),IF($AK92=3,SUM(D110:D112),IF($AK92=2,SUM(D110:D111),D110))))</f>
        <v>25</v>
      </c>
      <c r="E115" s="116">
        <f>IF($AK92=5,SUM(E110:E114),IF($AK92=4,SUM(E110:E113),IF($AK92=3,SUM(E110:E112),IF($AK92=2,SUM(E110:E111),E110))))</f>
        <v>30</v>
      </c>
      <c r="F115" s="116"/>
      <c r="G115" s="116">
        <f>IF($AK92=5,SUM(G110:G114),IF($AK92=4,SUM(G110:G113),IF($AK92=3,SUM(G110:G112),IF($AK92=2,SUM(G110:G111),G110))))</f>
        <v>39</v>
      </c>
      <c r="H115" s="116">
        <f>IF($AK92=5,SUM(H110:H114),IF($AK92=4,SUM(H110:H113),IF($AK92=3,SUM(H110:H112),IF($AK92=2,SUM(H110:H111),H110))))</f>
        <v>34</v>
      </c>
      <c r="I115" s="116"/>
      <c r="J115" s="116">
        <f>IF($AK92=5,SUM(J110:J114),IF($AK92=4,SUM(J110:J113),IF($AK92=3,SUM(J110:J112),IF($AK92=2,SUM(J110:J111),J110))))</f>
        <v>37</v>
      </c>
      <c r="K115" s="116">
        <f>IF($AK92=5,SUM(K110:K114),IF($AK92=4,SUM(K110:K113),IF($AK92=3,SUM(K110:K112),IF($AK92=2,SUM(K110:K111),K110))))</f>
        <v>0</v>
      </c>
      <c r="L115" s="116"/>
      <c r="M115" s="116">
        <f>IF($AK92=5,SUM(M110:M114),IF($AK92=4,SUM(M110:M113),IF($AK92=3,SUM(M110:M112),IF($AK92=2,SUM(M110:M111),M110))))</f>
        <v>0</v>
      </c>
      <c r="N115" s="116">
        <f>IF($AK92=5,SUM(N110:N114),IF($AK92=4,SUM(N110:N113),IF($AK92=3,SUM(N110:N112),IF($AK92=2,SUM(N110:N111),N110))))</f>
        <v>0</v>
      </c>
      <c r="O115" s="116"/>
      <c r="P115" s="116">
        <f>IF($AK92=5,SUM(P110:P114),IF($AK92=4,SUM(P110:P113),IF($AK92=3,SUM(P110:P112),IF($AK92=2,SUM(P110:P111),P110))))</f>
        <v>0</v>
      </c>
      <c r="Q115" s="116">
        <f>IF($AK92=5,SUM(Q110:Q114),IF($AK92=4,SUM(Q110:Q113),IF($AK92=3,SUM(Q110:Q112),IF($AK92=2,SUM(Q110:Q111),Q110))))</f>
        <v>0</v>
      </c>
      <c r="R115" s="116"/>
      <c r="S115" s="116">
        <f>IF($AK92=5,SUM(S110:S114),IF($AK92=4,SUM(S110:S113),IF($AK92=3,SUM(S110:S112),IF($AK92=2,SUM(S110:S111),S110))))</f>
        <v>0</v>
      </c>
      <c r="T115" s="116">
        <f>IF($AK92=5,SUM(T110:T114),IF($AK92=4,SUM(T110:T113),IF($AK92=3,SUM(T110:T112),IF($AK92=2,SUM(T110:T111),T110))))</f>
        <v>0</v>
      </c>
      <c r="U115" s="116"/>
      <c r="V115" s="116">
        <f>IF($AK92=5,SUM(V110:V114),IF($AK92=4,SUM(V110:V113),IF($AK92=3,SUM(V110:V112),IF($AK92=2,SUM(V110:V111),V110))))</f>
        <v>0</v>
      </c>
      <c r="W115" s="116">
        <f>IF($AK92=5,SUM(W110:W114),IF($AK92=4,SUM(W110:W113),IF($AK92=3,SUM(W110:W112),IF($AK92=2,SUM(W110:W111),W110))))</f>
        <v>0</v>
      </c>
      <c r="X115" s="116"/>
      <c r="Y115" s="116">
        <f>IF($AK92=5,SUM(Y110:Y114),IF($AK92=4,SUM(Y110:Y113),IF($AK92=3,SUM(Y110:Y112),IF($AK92=2,SUM(Y110:Y111),Y110))))</f>
        <v>0</v>
      </c>
      <c r="Z115" s="116">
        <f>IF($AK92=5,SUM(Z110:Z114),IF($AK92=4,SUM(Z110:Z113),IF($AK92=3,SUM(Z110:Z112),IF($AK92=2,SUM(Z110:Z111),Z110))))</f>
        <v>0</v>
      </c>
      <c r="AA115" s="116"/>
      <c r="AB115" s="116">
        <f>IF($AK92=5,SUM(AB110:AB114),IF($AK92=4,SUM(AB110:AB113),IF($AK92=3,SUM(AB110:AB112),IF($AK92=2,SUM(AB110:AB111),AB110))))</f>
        <v>0</v>
      </c>
      <c r="AC115" s="116">
        <f>IF($AK92=5,SUM(AC110:AC114),IF($AK92=4,SUM(AC110:AC113),IF($AK92=3,SUM(AC110:AC112),IF($AK92=2,SUM(AC110:AC111),AC110))))</f>
        <v>0</v>
      </c>
      <c r="AD115" s="116"/>
      <c r="AE115" s="116">
        <f>IF($AK92=5,SUM(AE110:AE114),IF($AK92=4,SUM(AE110:AE113),IF($AK92=3,SUM(AE110:AE112),IF($AK92=2,SUM(AE110:AE111),AE110))))</f>
        <v>0</v>
      </c>
      <c r="AF115" s="1"/>
      <c r="AG115" s="1"/>
      <c r="AH115" s="1"/>
      <c r="AI115" s="1"/>
      <c r="AJ115" s="1"/>
      <c r="AK115" s="1"/>
      <c r="AL115" s="1"/>
      <c r="AM115" s="1"/>
      <c r="AN115" s="1"/>
      <c r="AO115" s="1"/>
      <c r="AP115" s="1"/>
      <c r="AQ115" s="1"/>
    </row>
    <row r="116" spans="1:51" s="115" customFormat="1" ht="12.75" hidden="1" customHeight="1">
      <c r="A116" s="115" t="s">
        <v>201</v>
      </c>
      <c r="B116" s="164">
        <f>IF(AND(B110&gt;D110,$AK93&gt;0,ISNUMBER(B110),ISNUMBER(D110)),1,0)</f>
        <v>1</v>
      </c>
      <c r="C116" s="164"/>
      <c r="D116" s="165">
        <f>IF(AND(D110&gt;B110,$AK93&gt;0,ISNUMBER(B110),ISNUMBER(D110)),1,0)</f>
        <v>0</v>
      </c>
      <c r="E116" s="164">
        <f>IF(AND(E110&gt;G110,$AK93&gt;1,ISNUMBER(E110),ISNUMBER(G110)),1,0)</f>
        <v>0</v>
      </c>
      <c r="F116" s="164"/>
      <c r="G116" s="165">
        <f>IF(AND(G110&gt;E110,$AK93&gt;1,ISNUMBER(E110),ISNUMBER(G110)),1,0)</f>
        <v>1</v>
      </c>
      <c r="H116" s="164">
        <f>IF(AND(H110&gt;J110,$AK93&gt;2,ISNUMBER(H110),ISNUMBER(J110)),1,0)</f>
        <v>0</v>
      </c>
      <c r="I116" s="164"/>
      <c r="J116" s="165">
        <f>IF(AND(J110&gt;H110,$AK93&gt;2,ISNUMBER(H110),ISNUMBER(J110)),1,0)</f>
        <v>1</v>
      </c>
      <c r="K116" s="164">
        <f>IF(AND(K110&gt;M110,$AK93&gt;3,ISNUMBER(K110),ISNUMBER(M110)),1,0)</f>
        <v>0</v>
      </c>
      <c r="L116" s="164"/>
      <c r="M116" s="165">
        <f>IF(AND(M110&gt;K110,$AK93&gt;3,ISNUMBER(K110),ISNUMBER(M110)),1,0)</f>
        <v>0</v>
      </c>
      <c r="N116" s="164">
        <f>IF(AND(N110&gt;P110,$AK93&gt;4,ISNUMBER(N110),ISNUMBER(P110)),1,0)</f>
        <v>0</v>
      </c>
      <c r="O116" s="164"/>
      <c r="P116" s="165">
        <f>IF(AND(P110&gt;N110,$AK93&gt;4,ISNUMBER(N110),ISNUMBER(P110)),1,0)</f>
        <v>0</v>
      </c>
      <c r="Q116" s="164">
        <f>IF(AND(Q110&gt;S110,$AK93&gt;5,ISNUMBER(Q110),ISNUMBER(S110)),1,0)</f>
        <v>0</v>
      </c>
      <c r="R116" s="164"/>
      <c r="S116" s="165">
        <f>IF(AND(S110&gt;Q110,$AK93&gt;5,ISNUMBER(Q110),ISNUMBER(S110)),1,0)</f>
        <v>0</v>
      </c>
      <c r="T116" s="164">
        <f>IF(AND(T110&gt;V110,$AK93&gt;6,ISNUMBER(T110),ISNUMBER(V110)),1,0)</f>
        <v>0</v>
      </c>
      <c r="U116" s="164"/>
      <c r="V116" s="165">
        <f>IF(AND(V110&gt;T110,$AK93&gt;6,ISNUMBER(T110),ISNUMBER(V110)),1,0)</f>
        <v>0</v>
      </c>
      <c r="W116" s="164">
        <f>IF(AND(W110&gt;Y110,$AK93&gt;7,ISNUMBER(W110),ISNUMBER(Y110)),1,0)</f>
        <v>0</v>
      </c>
      <c r="X116" s="164"/>
      <c r="Y116" s="165">
        <f>IF(AND(Y110&gt;W110,$AK93&gt;7,ISNUMBER(W110),ISNUMBER(Y110)),1,0)</f>
        <v>0</v>
      </c>
      <c r="Z116" s="164">
        <f>IF(AND(Z110&gt;AB110,$AK93&gt;8,ISNUMBER(Z110),ISNUMBER(AB110)),1,0)</f>
        <v>0</v>
      </c>
      <c r="AA116" s="164"/>
      <c r="AB116" s="165">
        <f>IF(AND(AB110&gt;Z110,$AK93&gt;8,ISNUMBER(Z110),ISNUMBER(AB110)),1,0)</f>
        <v>0</v>
      </c>
      <c r="AC116" s="164">
        <f>IF(AND(AC110&gt;AE110,$AK93&gt;9,ISNUMBER(AC110),ISNUMBER(AE110)),1,0)</f>
        <v>0</v>
      </c>
      <c r="AD116" s="164"/>
      <c r="AE116" s="165">
        <f>IF(AND(AE110&gt;AC110,$AK93&gt;9,ISNUMBER(AC110),ISNUMBER(AE110)),1,0)</f>
        <v>0</v>
      </c>
      <c r="AT116" s="513"/>
      <c r="AU116" s="513"/>
      <c r="AV116" s="513"/>
      <c r="AW116" s="514"/>
      <c r="AX116" s="513"/>
      <c r="AY116" s="513"/>
    </row>
    <row r="117" spans="1:51" s="115" customFormat="1" ht="12.75" hidden="1" customHeight="1">
      <c r="A117" s="115" t="s">
        <v>202</v>
      </c>
      <c r="B117" s="164">
        <f>IF(AND(B111&gt;D111,$AK93&gt;0,$AK92&gt;1,ISNUMBER(B111),ISNUMBER(D111)),1,0)</f>
        <v>1</v>
      </c>
      <c r="C117" s="164"/>
      <c r="D117" s="165">
        <f>IF(AND(D111&gt;B111,$AK93&gt;0,$AK92&gt;1,ISNUMBER(B111),ISNUMBER(D111)),1,0)</f>
        <v>0</v>
      </c>
      <c r="E117" s="164">
        <f>IF(AND(E111&gt;G111,$AK93&gt;1,$AK92&gt;1,ISNUMBER(E111),ISNUMBER(G111)),1,0)</f>
        <v>0</v>
      </c>
      <c r="F117" s="164"/>
      <c r="G117" s="165">
        <f>IF(AND(G111&gt;E111,$AK93&gt;1,$AK92&gt;1,ISNUMBER(E111),ISNUMBER(G111)),1,0)</f>
        <v>1</v>
      </c>
      <c r="H117" s="164">
        <f>IF(AND(H111&gt;J111,$AK93&gt;2,$AK92&gt;1,ISNUMBER(H111),ISNUMBER(J111)),1,0)</f>
        <v>0</v>
      </c>
      <c r="I117" s="164"/>
      <c r="J117" s="165">
        <f>IF(AND(J111&gt;H111,$AK93&gt;2,$AK92&gt;1,ISNUMBER(H111),ISNUMBER(J111)),1,0)</f>
        <v>1</v>
      </c>
      <c r="K117" s="164">
        <f>IF(AND(K111&gt;M111,$AK93&gt;3,$AK92&gt;1,ISNUMBER(K111),ISNUMBER(M111)),1,0)</f>
        <v>0</v>
      </c>
      <c r="L117" s="164"/>
      <c r="M117" s="165">
        <f>IF(AND(M111&gt;K111,$AK93&gt;3,$AK92&gt;1,ISNUMBER(K111),ISNUMBER(M111)),1,0)</f>
        <v>0</v>
      </c>
      <c r="N117" s="164">
        <f>IF(AND(N111&gt;P111,$AK93&gt;4,$AK92&gt;1,ISNUMBER(N111),ISNUMBER(P111)),1,0)</f>
        <v>0</v>
      </c>
      <c r="O117" s="164"/>
      <c r="P117" s="165">
        <f>IF(AND(P111&gt;N111,$AK93&gt;4,$AK92&gt;1,ISNUMBER(N111),ISNUMBER(P111)),1,0)</f>
        <v>0</v>
      </c>
      <c r="Q117" s="164">
        <f>IF(AND(Q111&gt;S111,$AK93&gt;5,$AK92&gt;1,ISNUMBER(Q111),ISNUMBER(S111)),1,0)</f>
        <v>0</v>
      </c>
      <c r="R117" s="164"/>
      <c r="S117" s="165">
        <f>IF(AND(S111&gt;Q111,$AK93&gt;5,$AK92&gt;1,ISNUMBER(Q111),ISNUMBER(S111)),1,0)</f>
        <v>0</v>
      </c>
      <c r="T117" s="164">
        <f>IF(AND(T111&gt;V111,$AK93&gt;6,$AK92&gt;1,ISNUMBER(T111),ISNUMBER(V111)),1,0)</f>
        <v>0</v>
      </c>
      <c r="U117" s="164"/>
      <c r="V117" s="165">
        <f>IF(AND(V111&gt;T111,$AK93&gt;6,$AK92&gt;1,ISNUMBER(T111),ISNUMBER(V111)),1,0)</f>
        <v>0</v>
      </c>
      <c r="W117" s="164">
        <f>IF(AND(W111&gt;Y111,$AK93&gt;7,$AK92&gt;1,ISNUMBER(W111),ISNUMBER(Y111)),1,0)</f>
        <v>0</v>
      </c>
      <c r="X117" s="164"/>
      <c r="Y117" s="165">
        <f>IF(AND(Y111&gt;W111,$AK93&gt;7,$AK92&gt;1,ISNUMBER(W111),ISNUMBER(Y111)),1,0)</f>
        <v>0</v>
      </c>
      <c r="Z117" s="164">
        <f>IF(AND(Z111&gt;AB111,$AK93&gt;8,$AK92&gt;1,ISNUMBER(Z111),ISNUMBER(AB111)),1,0)</f>
        <v>0</v>
      </c>
      <c r="AA117" s="164"/>
      <c r="AB117" s="165">
        <f>IF(AND(AB111&gt;Z111,$AK93&gt;8,$AK92&gt;1,ISNUMBER(Z111),ISNUMBER(AB111)),1,0)</f>
        <v>0</v>
      </c>
      <c r="AC117" s="164">
        <f>IF(AND(AC111&gt;AE111,$AK93&gt;9,$AK92&gt;1,ISNUMBER(AC111),ISNUMBER(AE111)),1,0)</f>
        <v>0</v>
      </c>
      <c r="AD117" s="164"/>
      <c r="AE117" s="165">
        <f>IF(AND(AE111&gt;AC111,$AK93&gt;9,$AK92&gt;1,ISNUMBER(AC111),ISNUMBER(AE111)),1,0)</f>
        <v>0</v>
      </c>
      <c r="AT117" s="513"/>
      <c r="AU117" s="513"/>
      <c r="AV117" s="513"/>
      <c r="AW117" s="514"/>
      <c r="AX117" s="513"/>
      <c r="AY117" s="513"/>
    </row>
    <row r="118" spans="1:51" s="115" customFormat="1" ht="12.75" hidden="1" customHeight="1">
      <c r="A118" s="115" t="s">
        <v>203</v>
      </c>
      <c r="B118" s="164">
        <f>IF(AND(B112&gt;D112,$AK93&gt;0,$AK92&gt;2,ISNUMBER(B112),ISNUMBER(D112)),1,0)</f>
        <v>0</v>
      </c>
      <c r="C118" s="164"/>
      <c r="D118" s="165">
        <f>IF(AND(D112&gt;B112,$AK93&gt;0,$AK92&gt;2,ISNUMBER(B112),ISNUMBER(D112)),1,0)</f>
        <v>0</v>
      </c>
      <c r="E118" s="164">
        <f>IF(AND(E112&gt;G112,$AK93&gt;1,$AK92&gt;2,ISNUMBER(E112),ISNUMBER(G112)),1,0)</f>
        <v>0</v>
      </c>
      <c r="F118" s="164"/>
      <c r="G118" s="165">
        <f>IF(AND(G112&gt;E112,$AK93&gt;1,$AK92&gt;2,ISNUMBER(E112),ISNUMBER(G112)),1,0)</f>
        <v>0</v>
      </c>
      <c r="H118" s="164">
        <f>IF(AND(H112&gt;J112,$AK93&gt;2,$AK92&gt;2,ISNUMBER(H112),ISNUMBER(J112)),1,0)</f>
        <v>0</v>
      </c>
      <c r="I118" s="164"/>
      <c r="J118" s="165">
        <f>IF(AND(J112&gt;H112,$AK93&gt;2,$AK92&gt;2,ISNUMBER(H112),ISNUMBER(J112)),1,0)</f>
        <v>0</v>
      </c>
      <c r="K118" s="164">
        <f>IF(AND(K112&gt;M112,$AK93&gt;3,$AK92&gt;2,ISNUMBER(K112),ISNUMBER(M112)),1,0)</f>
        <v>0</v>
      </c>
      <c r="L118" s="164"/>
      <c r="M118" s="165">
        <f>IF(AND(M112&gt;K112,$AK93&gt;3,$AK92&gt;2,ISNUMBER(K112),ISNUMBER(M112)),1,0)</f>
        <v>0</v>
      </c>
      <c r="N118" s="164">
        <f>IF(AND(N112&gt;P112,$AK93&gt;4,$AK92&gt;2,ISNUMBER(N112),ISNUMBER(P112)),1,0)</f>
        <v>0</v>
      </c>
      <c r="O118" s="164"/>
      <c r="P118" s="165">
        <f>IF(AND(P112&gt;N112,$AK93&gt;4,$AK92&gt;2,ISNUMBER(N112),ISNUMBER(P112)),1,0)</f>
        <v>0</v>
      </c>
      <c r="Q118" s="164">
        <f>IF(AND(Q112&gt;S112,$AK93&gt;5,$AK92&gt;2,ISNUMBER(Q112),ISNUMBER(S112)),1,0)</f>
        <v>0</v>
      </c>
      <c r="R118" s="164"/>
      <c r="S118" s="165">
        <f>IF(AND(S112&gt;Q112,$AK93&gt;5,$AK92&gt;2,ISNUMBER(Q112),ISNUMBER(S112)),1,0)</f>
        <v>0</v>
      </c>
      <c r="T118" s="164">
        <f>IF(AND(T112&gt;V112,$AK93&gt;6,$AK92&gt;2,ISNUMBER(T112),ISNUMBER(V112)),1,0)</f>
        <v>0</v>
      </c>
      <c r="U118" s="164"/>
      <c r="V118" s="165">
        <f>IF(AND(V112&gt;T112,$AK93&gt;6,$AK92&gt;2,ISNUMBER(T112),ISNUMBER(V112)),1,0)</f>
        <v>0</v>
      </c>
      <c r="W118" s="164">
        <f>IF(AND(W112&gt;Y112,$AK93&gt;7,$AK92&gt;2,ISNUMBER(W112),ISNUMBER(Y112)),1,0)</f>
        <v>0</v>
      </c>
      <c r="X118" s="164"/>
      <c r="Y118" s="165">
        <f>IF(AND(Y112&gt;W112,$AK93&gt;7,$AK92&gt;2,ISNUMBER(W112),ISNUMBER(Y112)),1,0)</f>
        <v>0</v>
      </c>
      <c r="Z118" s="164">
        <f>IF(AND(Z112&gt;AB112,$AK93&gt;8,$AK92&gt;2,ISNUMBER(Z112),ISNUMBER(AB112)),1,0)</f>
        <v>0</v>
      </c>
      <c r="AA118" s="164"/>
      <c r="AB118" s="165">
        <f>IF(AND(AB112&gt;Z112,$AK93&gt;8,$AK92&gt;2,ISNUMBER(Z112),ISNUMBER(AB112)),1,0)</f>
        <v>0</v>
      </c>
      <c r="AC118" s="164">
        <f>IF(AND(AC112&gt;AE112,$AK93&gt;9,$AK92&gt;2,ISNUMBER(AC112),ISNUMBER(AE112)),1,0)</f>
        <v>0</v>
      </c>
      <c r="AD118" s="164"/>
      <c r="AE118" s="165">
        <f>IF(AND(AE112&gt;AC112,$AK93&gt;9,$AK92&gt;2,ISNUMBER(AC112),ISNUMBER(AE112)),1,0)</f>
        <v>0</v>
      </c>
      <c r="AT118" s="513"/>
      <c r="AU118" s="513"/>
      <c r="AV118" s="513"/>
      <c r="AW118" s="514"/>
      <c r="AX118" s="513"/>
      <c r="AY118" s="513"/>
    </row>
    <row r="119" spans="1:51" s="115" customFormat="1" ht="12.75" hidden="1" customHeight="1">
      <c r="A119" s="115" t="s">
        <v>204</v>
      </c>
      <c r="B119" s="164">
        <f>IF(AND(B113&gt;D113,$AK93&gt;0,$AK92&gt;3,ISNUMBER(B113),ISNUMBER(D113)),1,0)</f>
        <v>0</v>
      </c>
      <c r="C119" s="164"/>
      <c r="D119" s="165">
        <f>IF(AND(D113&gt;B113,$AK93&gt;0,$AK92&gt;3,ISNUMBER(B113),ISNUMBER(D113)),1,0)</f>
        <v>0</v>
      </c>
      <c r="E119" s="164">
        <f>IF(AND(E113&gt;G113,$AK93&gt;1,$AK92&gt;3,ISNUMBER(E113),ISNUMBER(G113)),1,0)</f>
        <v>0</v>
      </c>
      <c r="F119" s="164"/>
      <c r="G119" s="165">
        <f>IF(AND(G113&gt;E113,$AK93&gt;1,$AK92&gt;3,ISNUMBER(E113),ISNUMBER(G113)),1,0)</f>
        <v>0</v>
      </c>
      <c r="H119" s="164">
        <f>IF(AND(H113&gt;J113,$AK93&gt;2,$AK92&gt;3,ISNUMBER(H113),ISNUMBER(J113)),1,0)</f>
        <v>0</v>
      </c>
      <c r="I119" s="164"/>
      <c r="J119" s="165">
        <f>IF(AND(J113&gt;H113,$AK93&gt;2,$AK92&gt;3,ISNUMBER(H113),ISNUMBER(J113)),1,0)</f>
        <v>0</v>
      </c>
      <c r="K119" s="164">
        <f>IF(AND(K113&gt;M113,$AK93&gt;3,$AK92&gt;3,ISNUMBER(K113),ISNUMBER(M113)),1,0)</f>
        <v>0</v>
      </c>
      <c r="L119" s="164"/>
      <c r="M119" s="165">
        <f>IF(AND(M113&gt;K113,$AK93&gt;3,$AK92&gt;3,ISNUMBER(K113),ISNUMBER(M113)),1,0)</f>
        <v>0</v>
      </c>
      <c r="N119" s="164">
        <f>IF(AND(N113&gt;P113,$AK93&gt;4,$AK92&gt;3,ISNUMBER(N113),ISNUMBER(P113)),1,0)</f>
        <v>0</v>
      </c>
      <c r="O119" s="164"/>
      <c r="P119" s="165">
        <f>IF(AND(P113&gt;N113,$AK93&gt;4,$AK92&gt;3,ISNUMBER(N113),ISNUMBER(P113)),1,0)</f>
        <v>0</v>
      </c>
      <c r="Q119" s="164">
        <f>IF(AND(Q113&gt;S113,$AK93&gt;5,$AK92&gt;3,ISNUMBER(Q113),ISNUMBER(S113)),1,0)</f>
        <v>0</v>
      </c>
      <c r="R119" s="164"/>
      <c r="S119" s="165">
        <f>IF(AND(S113&gt;Q113,$AK93&gt;5,$AK92&gt;3,ISNUMBER(Q113),ISNUMBER(S113)),1,0)</f>
        <v>0</v>
      </c>
      <c r="T119" s="164">
        <f>IF(AND(T113&gt;V113,$AK93&gt;6,$AK92&gt;3,ISNUMBER(T113),ISNUMBER(V113)),1,0)</f>
        <v>0</v>
      </c>
      <c r="U119" s="164"/>
      <c r="V119" s="165">
        <f>IF(AND(V113&gt;T113,$AK93&gt;6,$AK92&gt;3,ISNUMBER(T113),ISNUMBER(V113)),1,0)</f>
        <v>0</v>
      </c>
      <c r="W119" s="164">
        <f>IF(AND(W113&gt;Y113,$AK93&gt;7,$AK92&gt;3,ISNUMBER(W113),ISNUMBER(Y113)),1,0)</f>
        <v>0</v>
      </c>
      <c r="X119" s="164"/>
      <c r="Y119" s="165">
        <f>IF(AND(Y113&gt;W113,$AK93&gt;7,$AK92&gt;3,ISNUMBER(W113),ISNUMBER(Y113)),1,0)</f>
        <v>0</v>
      </c>
      <c r="Z119" s="164">
        <f>IF(AND(Z113&gt;AB113,$AK93&gt;8,$AK92&gt;3,ISNUMBER(Z113),ISNUMBER(AB113)),1,0)</f>
        <v>0</v>
      </c>
      <c r="AA119" s="164"/>
      <c r="AB119" s="165">
        <f>IF(AND(AB113&gt;Z113,$AK93&gt;8,$AK92&gt;3,ISNUMBER(Z113),ISNUMBER(AB113)),1,0)</f>
        <v>0</v>
      </c>
      <c r="AC119" s="164">
        <f>IF(AND(AC113&gt;AE113,$AK93&gt;9,$AK92&gt;3,ISNUMBER(AC113),ISNUMBER(AE113)),1,0)</f>
        <v>0</v>
      </c>
      <c r="AD119" s="164"/>
      <c r="AE119" s="165">
        <f>IF(AND(AE113&gt;AC113,$AK93&gt;9,$AK92&gt;3,ISNUMBER(AC113),ISNUMBER(AE113)),1,0)</f>
        <v>0</v>
      </c>
      <c r="AT119" s="513"/>
      <c r="AU119" s="513"/>
      <c r="AV119" s="513"/>
      <c r="AW119" s="514"/>
      <c r="AX119" s="513"/>
      <c r="AY119" s="513"/>
    </row>
    <row r="120" spans="1:51" s="115" customFormat="1" ht="12.75" hidden="1" customHeight="1">
      <c r="A120" s="115" t="s">
        <v>205</v>
      </c>
      <c r="B120" s="164">
        <f>IF(AND(B114&gt;D114,$AK93&gt;0,$AK92&gt;4,ISNUMBER(B114),ISNUMBER(D114)),1,0)</f>
        <v>0</v>
      </c>
      <c r="C120" s="164"/>
      <c r="D120" s="165">
        <f>IF(AND(D114&gt;B114,$AK93&gt;0,$AK92&gt;4,ISNUMBER(B114),ISNUMBER(D114)),1,0)</f>
        <v>0</v>
      </c>
      <c r="E120" s="164">
        <f>IF(AND(E114&gt;G114,$AK93&gt;1,$AK92&gt;4,ISNUMBER(E114),ISNUMBER(G114)),1,0)</f>
        <v>0</v>
      </c>
      <c r="F120" s="164"/>
      <c r="G120" s="165">
        <f>IF(AND(G114&gt;E114,$AK93&gt;1,$AK92&gt;4,ISNUMBER(E114),ISNUMBER(G114)),1,0)</f>
        <v>0</v>
      </c>
      <c r="H120" s="164">
        <f>IF(AND(H114&gt;J114,$AK93&gt;2,$AK92&gt;4,ISNUMBER(H114),ISNUMBER(J114)),1,0)</f>
        <v>0</v>
      </c>
      <c r="I120" s="164"/>
      <c r="J120" s="165">
        <f>IF(AND(J114&gt;H114,$AK93&gt;2,$AK92&gt;4,ISNUMBER(H114),ISNUMBER(J114)),1,0)</f>
        <v>0</v>
      </c>
      <c r="K120" s="164">
        <f>IF(AND(K114&gt;M114,$AK93&gt;3,$AK92&gt;4,ISNUMBER(K114),ISNUMBER(M114)),1,0)</f>
        <v>0</v>
      </c>
      <c r="L120" s="164"/>
      <c r="M120" s="165">
        <f>IF(AND(M114&gt;K114,$AK93&gt;3,$AK92&gt;4,ISNUMBER(K114),ISNUMBER(M114)),1,0)</f>
        <v>0</v>
      </c>
      <c r="N120" s="164">
        <f>IF(AND(N114&gt;P114,$AK93&gt;4,$AK92&gt;4,ISNUMBER(N114),ISNUMBER(P114)),1,0)</f>
        <v>0</v>
      </c>
      <c r="O120" s="164"/>
      <c r="P120" s="165">
        <f>IF(AND(P114&gt;N114,$AK93&gt;4,$AK92&gt;4,ISNUMBER(N114),ISNUMBER(P114)),1,0)</f>
        <v>0</v>
      </c>
      <c r="Q120" s="164">
        <f>IF(AND(Q114&gt;S114,$AK93&gt;5,$AK92&gt;4,ISNUMBER(Q114),ISNUMBER(S114)),1,0)</f>
        <v>0</v>
      </c>
      <c r="R120" s="164"/>
      <c r="S120" s="165">
        <f>IF(AND(S114&gt;Q114,$AK93&gt;5,$AK92&gt;4,ISNUMBER(Q114),ISNUMBER(S114)),1,0)</f>
        <v>0</v>
      </c>
      <c r="T120" s="164">
        <f>IF(AND(T114&gt;V114,$AK93&gt;6,$AK92&gt;4,ISNUMBER(T114),ISNUMBER(V114)),1,0)</f>
        <v>0</v>
      </c>
      <c r="U120" s="164"/>
      <c r="V120" s="165">
        <f>IF(AND(V114&gt;T114,$AK93&gt;6,$AK92&gt;4,ISNUMBER(T114),ISNUMBER(V114)),1,0)</f>
        <v>0</v>
      </c>
      <c r="W120" s="164">
        <f>IF(AND(W114&gt;Y114,$AK93&gt;7,$AK92&gt;4,ISNUMBER(W114),ISNUMBER(Y114)),1,0)</f>
        <v>0</v>
      </c>
      <c r="X120" s="164"/>
      <c r="Y120" s="165">
        <f>IF(AND(Y114&gt;W114,$AK93&gt;7,$AK92&gt;4,ISNUMBER(W114),ISNUMBER(Y114)),1,0)</f>
        <v>0</v>
      </c>
      <c r="Z120" s="164">
        <f>IF(AND(Z114&gt;AB114,$AK93&gt;8,$AK92&gt;4,ISNUMBER(Z114),ISNUMBER(AB114)),1,0)</f>
        <v>0</v>
      </c>
      <c r="AA120" s="164"/>
      <c r="AB120" s="165">
        <f>IF(AND(AB114&gt;Z114,$AK93&gt;8,$AK92&gt;4,ISNUMBER(Z114),ISNUMBER(AB114)),1,0)</f>
        <v>0</v>
      </c>
      <c r="AC120" s="164">
        <f>IF(AND(AC114&gt;AE114,$AK93&gt;9,$AK92&gt;4,ISNUMBER(AC114),ISNUMBER(AE114)),1,0)</f>
        <v>0</v>
      </c>
      <c r="AD120" s="164"/>
      <c r="AE120" s="165">
        <f>IF(AND(AE114&gt;AC114,$AK93&gt;9,$AK92&gt;4,ISNUMBER(AC114),ISNUMBER(AE114)),1,0)</f>
        <v>0</v>
      </c>
      <c r="AT120" s="513"/>
      <c r="AU120" s="513"/>
      <c r="AV120" s="513"/>
      <c r="AW120" s="514"/>
      <c r="AX120" s="513"/>
      <c r="AY120" s="513"/>
    </row>
    <row r="121" spans="1:51" s="115" customFormat="1" ht="38.25" hidden="1" customHeight="1">
      <c r="A121" s="167" t="s">
        <v>206</v>
      </c>
      <c r="B121" s="115">
        <f>SUM(B116:B120)</f>
        <v>2</v>
      </c>
      <c r="D121" s="168">
        <f>SUM(D116:D120)</f>
        <v>0</v>
      </c>
      <c r="E121" s="115">
        <f>SUM(E116:E120)</f>
        <v>0</v>
      </c>
      <c r="G121" s="168">
        <f>SUM(G116:G120)</f>
        <v>2</v>
      </c>
      <c r="H121" s="115">
        <f>SUM(H116:H120)</f>
        <v>0</v>
      </c>
      <c r="J121" s="168">
        <f>SUM(J116:J120)</f>
        <v>2</v>
      </c>
      <c r="K121" s="115">
        <f>SUM(K116:K120)</f>
        <v>0</v>
      </c>
      <c r="M121" s="168">
        <f>SUM(M116:M120)</f>
        <v>0</v>
      </c>
      <c r="N121" s="115">
        <f>SUM(N116:N120)</f>
        <v>0</v>
      </c>
      <c r="P121" s="168">
        <f>SUM(P116:P120)</f>
        <v>0</v>
      </c>
      <c r="Q121" s="115">
        <f>SUM(Q116:Q120)</f>
        <v>0</v>
      </c>
      <c r="S121" s="168">
        <f>SUM(S116:S120)</f>
        <v>0</v>
      </c>
      <c r="T121" s="115">
        <f>SUM(T116:T120)</f>
        <v>0</v>
      </c>
      <c r="V121" s="168">
        <f>SUM(V116:V120)</f>
        <v>0</v>
      </c>
      <c r="W121" s="115">
        <f>SUM(W116:W120)</f>
        <v>0</v>
      </c>
      <c r="Y121" s="168">
        <f>SUM(Y116:Y120)</f>
        <v>0</v>
      </c>
      <c r="Z121" s="115">
        <f>SUM(Z116:Z120)</f>
        <v>0</v>
      </c>
      <c r="AB121" s="168">
        <f>SUM(AB116:AB120)</f>
        <v>0</v>
      </c>
      <c r="AC121" s="115">
        <f>SUM(AC116:AC120)</f>
        <v>0</v>
      </c>
      <c r="AE121" s="168">
        <f>SUM(AE116:AE120)</f>
        <v>0</v>
      </c>
      <c r="AT121" s="513"/>
      <c r="AU121" s="513"/>
      <c r="AV121" s="513"/>
      <c r="AW121" s="514"/>
      <c r="AX121" s="513"/>
      <c r="AY121" s="513"/>
    </row>
    <row r="122" spans="1:51" s="115" customFormat="1" ht="25.5" hidden="1" customHeight="1">
      <c r="A122" s="167" t="s">
        <v>207</v>
      </c>
      <c r="B122" s="115">
        <f>IF(B121&gt;D121,IF(C156=AK92,1,IF(C156=AK92-1,1,0)),0)</f>
        <v>1</v>
      </c>
      <c r="C122" s="115">
        <f>B122+D122</f>
        <v>1</v>
      </c>
      <c r="D122" s="168">
        <f>IF(D121&gt;B121,IF(C156=AK92,1,IF(C156=AK92-1,1,0)),0)</f>
        <v>0</v>
      </c>
      <c r="E122" s="115">
        <f>IF(E121&gt;G121,IF(F156=AK92,1,IF(F156=AK92-1,1,0)),0)</f>
        <v>0</v>
      </c>
      <c r="F122" s="115">
        <f>E122+G122</f>
        <v>1</v>
      </c>
      <c r="G122" s="168">
        <f>IF(G121&gt;E121,IF(F156=AK92,1,IF(F156=AK92-1,1,0)),0)</f>
        <v>1</v>
      </c>
      <c r="H122" s="115">
        <f>IF(H121&gt;J121,IF(I156=AK92,1,IF(I156=AK92-1,1,0)),0)</f>
        <v>0</v>
      </c>
      <c r="I122" s="115">
        <f>H122+J122</f>
        <v>1</v>
      </c>
      <c r="J122" s="168">
        <f>IF(J121&gt;H121,IF(I156=AK92,1,IF(I156=AK92-1,1,0)),0)</f>
        <v>1</v>
      </c>
      <c r="K122" s="115">
        <f>IF(K121&gt;M121,IF(L156=AK92,1,IF(L156=AK92-1,1,0)),0)</f>
        <v>0</v>
      </c>
      <c r="L122" s="115">
        <f>K122+M122</f>
        <v>0</v>
      </c>
      <c r="M122" s="168">
        <f>IF(M121&gt;K121,IF(L156=AK92,1,IF(L156=AK92-1,1,0)),0)</f>
        <v>0</v>
      </c>
      <c r="N122" s="115">
        <f>IF(N121&gt;P121,IF(O156=AK92,1,IF(O156=AK92-1,1,0)),0)</f>
        <v>0</v>
      </c>
      <c r="O122" s="115">
        <f>N122+P122</f>
        <v>0</v>
      </c>
      <c r="P122" s="168">
        <f>IF(P121&gt;N121,IF(O156=AK92,1,IF(O156=AK92-1,1,0)),0)</f>
        <v>0</v>
      </c>
      <c r="Q122" s="115">
        <f>IF(Q121&gt;S121,IF(R156=AK92,1,IF(R156=AK92-1,1,0)),0)</f>
        <v>0</v>
      </c>
      <c r="R122" s="115">
        <f>Q122+S122</f>
        <v>0</v>
      </c>
      <c r="S122" s="168">
        <f>IF(S121&gt;Q121,IF(R156=AK92,1,IF(R156=AK92-1,1,0)),0)</f>
        <v>0</v>
      </c>
      <c r="T122" s="115">
        <f>IF(T121&gt;V121,IF(U156=AK92,1,IF(U156=AK92-1,1,0)),0)</f>
        <v>0</v>
      </c>
      <c r="U122" s="115">
        <f>T122+V122</f>
        <v>0</v>
      </c>
      <c r="V122" s="168">
        <f>IF(V121&gt;T121,IF(U156=AK92,1,IF(U156=AK92-1,1,0)),0)</f>
        <v>0</v>
      </c>
      <c r="W122" s="115">
        <f>IF(W121&gt;Y121,IF(X156=AK92,1,IF(X156=AK92-1,1,0)),0)</f>
        <v>0</v>
      </c>
      <c r="X122" s="115">
        <f>W122+Y122</f>
        <v>0</v>
      </c>
      <c r="Y122" s="168">
        <f>IF(Y121&gt;W121,IF(X156=AK92,1,IF(X156=AK92-1,1,0)),0)</f>
        <v>0</v>
      </c>
      <c r="Z122" s="115">
        <f>IF(Z121&gt;AB121,IF(AA156=AK92,1,IF(AA156=AK92-1,1,0)),0)</f>
        <v>0</v>
      </c>
      <c r="AA122" s="115">
        <f>Z122+AB122</f>
        <v>0</v>
      </c>
      <c r="AB122" s="168">
        <f>IF(AB121&gt;Z121,IF(AA156=AK92,1,IF(AA156=AK92-1,1,0)),0)</f>
        <v>0</v>
      </c>
      <c r="AC122" s="115">
        <f>IF(AC121&gt;AE121,IF(AD156=AK92,1,IF(AD156=AK92-1,1,0)),0)</f>
        <v>0</v>
      </c>
      <c r="AD122" s="115">
        <f>AC122+AE122</f>
        <v>0</v>
      </c>
      <c r="AE122" s="168">
        <f>IF(AE121&gt;AC121,IF(AD156=AK92,1,IF(AD156=AK92-1,1,0)),0)</f>
        <v>0</v>
      </c>
      <c r="AT122" s="513"/>
      <c r="AU122" s="513"/>
      <c r="AV122" s="513"/>
      <c r="AW122" s="514"/>
      <c r="AX122" s="513"/>
      <c r="AY122" s="513"/>
    </row>
    <row r="123" spans="1:51" s="115" customFormat="1" ht="25.5" hidden="1" customHeight="1">
      <c r="A123" s="167"/>
      <c r="D123" s="168"/>
      <c r="G123" s="168"/>
      <c r="J123" s="168"/>
      <c r="M123" s="168"/>
      <c r="P123" s="168"/>
      <c r="S123" s="168"/>
      <c r="V123" s="168"/>
      <c r="Y123" s="168"/>
      <c r="AB123" s="168"/>
      <c r="AE123" s="168"/>
      <c r="AT123" s="513"/>
      <c r="AU123" s="513"/>
      <c r="AV123" s="513"/>
      <c r="AW123" s="514"/>
      <c r="AX123" s="513"/>
      <c r="AY123" s="513"/>
    </row>
    <row r="124" spans="1:51" s="115" customFormat="1" ht="12.75" hidden="1" customHeight="1">
      <c r="A124" s="115" t="s">
        <v>208</v>
      </c>
      <c r="B124" s="115">
        <f>IF(B116=1,B110,0)</f>
        <v>20</v>
      </c>
      <c r="D124" s="168">
        <f t="shared" ref="D124:E128" si="11">IF(D116=1,D110,0)</f>
        <v>0</v>
      </c>
      <c r="E124" s="115">
        <f t="shared" si="11"/>
        <v>0</v>
      </c>
      <c r="G124" s="168">
        <f t="shared" ref="G124:H128" si="12">IF(G116=1,G110,0)</f>
        <v>21</v>
      </c>
      <c r="H124" s="115">
        <f t="shared" si="12"/>
        <v>0</v>
      </c>
      <c r="J124" s="168">
        <f t="shared" ref="J124:K128" si="13">IF(J116=1,J110,0)</f>
        <v>18</v>
      </c>
      <c r="K124" s="115">
        <f t="shared" si="13"/>
        <v>0</v>
      </c>
      <c r="M124" s="168">
        <f t="shared" ref="M124:N128" si="14">IF(M116=1,M110,0)</f>
        <v>0</v>
      </c>
      <c r="N124" s="115">
        <f t="shared" si="14"/>
        <v>0</v>
      </c>
      <c r="P124" s="168">
        <f t="shared" ref="P124:Q128" si="15">IF(P116=1,P110,0)</f>
        <v>0</v>
      </c>
      <c r="Q124" s="115">
        <f t="shared" si="15"/>
        <v>0</v>
      </c>
      <c r="S124" s="168">
        <f t="shared" ref="S124:T128" si="16">IF(S116=1,S110,0)</f>
        <v>0</v>
      </c>
      <c r="T124" s="115">
        <f t="shared" si="16"/>
        <v>0</v>
      </c>
      <c r="V124" s="168">
        <f t="shared" ref="V124:W128" si="17">IF(V116=1,V110,0)</f>
        <v>0</v>
      </c>
      <c r="W124" s="115">
        <f t="shared" si="17"/>
        <v>0</v>
      </c>
      <c r="Y124" s="168">
        <f t="shared" ref="Y124:Z128" si="18">IF(Y116=1,Y110,0)</f>
        <v>0</v>
      </c>
      <c r="Z124" s="115">
        <f t="shared" si="18"/>
        <v>0</v>
      </c>
      <c r="AB124" s="168">
        <f t="shared" ref="AB124:AC128" si="19">IF(AB116=1,AB110,0)</f>
        <v>0</v>
      </c>
      <c r="AC124" s="115">
        <f t="shared" si="19"/>
        <v>0</v>
      </c>
      <c r="AE124" s="168">
        <f>IF(AE116=1,AE110,0)</f>
        <v>0</v>
      </c>
      <c r="AT124" s="513"/>
      <c r="AU124" s="513"/>
      <c r="AV124" s="513"/>
      <c r="AW124" s="514"/>
      <c r="AX124" s="513"/>
      <c r="AY124" s="513"/>
    </row>
    <row r="125" spans="1:51" s="115" customFormat="1" ht="12.75" hidden="1" customHeight="1">
      <c r="A125" s="115" t="s">
        <v>209</v>
      </c>
      <c r="B125" s="115">
        <f>IF(B117=1,B111,0)</f>
        <v>28</v>
      </c>
      <c r="D125" s="168">
        <f t="shared" si="11"/>
        <v>0</v>
      </c>
      <c r="E125" s="115">
        <f t="shared" si="11"/>
        <v>0</v>
      </c>
      <c r="G125" s="168">
        <f t="shared" si="12"/>
        <v>18</v>
      </c>
      <c r="H125" s="115">
        <f t="shared" si="12"/>
        <v>0</v>
      </c>
      <c r="J125" s="168">
        <f t="shared" si="13"/>
        <v>19</v>
      </c>
      <c r="K125" s="115">
        <f t="shared" si="13"/>
        <v>0</v>
      </c>
      <c r="M125" s="168">
        <f t="shared" si="14"/>
        <v>0</v>
      </c>
      <c r="N125" s="115">
        <f t="shared" si="14"/>
        <v>0</v>
      </c>
      <c r="P125" s="168">
        <f t="shared" si="15"/>
        <v>0</v>
      </c>
      <c r="Q125" s="115">
        <f t="shared" si="15"/>
        <v>0</v>
      </c>
      <c r="S125" s="168">
        <f t="shared" si="16"/>
        <v>0</v>
      </c>
      <c r="T125" s="115">
        <f t="shared" si="16"/>
        <v>0</v>
      </c>
      <c r="V125" s="168">
        <f t="shared" si="17"/>
        <v>0</v>
      </c>
      <c r="W125" s="115">
        <f t="shared" si="17"/>
        <v>0</v>
      </c>
      <c r="Y125" s="168">
        <f t="shared" si="18"/>
        <v>0</v>
      </c>
      <c r="Z125" s="115">
        <f t="shared" si="18"/>
        <v>0</v>
      </c>
      <c r="AB125" s="168">
        <f t="shared" si="19"/>
        <v>0</v>
      </c>
      <c r="AC125" s="115">
        <f t="shared" si="19"/>
        <v>0</v>
      </c>
      <c r="AE125" s="168">
        <f>IF(AE117=1,AE111,0)</f>
        <v>0</v>
      </c>
      <c r="AT125" s="513"/>
      <c r="AU125" s="513"/>
      <c r="AV125" s="513"/>
      <c r="AW125" s="514"/>
      <c r="AX125" s="513"/>
      <c r="AY125" s="513"/>
    </row>
    <row r="126" spans="1:51" s="115" customFormat="1" ht="12.75" hidden="1" customHeight="1">
      <c r="A126" s="115" t="s">
        <v>210</v>
      </c>
      <c r="B126" s="115">
        <f>IF(B118=1,B112,0)</f>
        <v>0</v>
      </c>
      <c r="D126" s="168">
        <f t="shared" si="11"/>
        <v>0</v>
      </c>
      <c r="E126" s="115">
        <f t="shared" si="11"/>
        <v>0</v>
      </c>
      <c r="G126" s="168">
        <f t="shared" si="12"/>
        <v>0</v>
      </c>
      <c r="H126" s="115">
        <f t="shared" si="12"/>
        <v>0</v>
      </c>
      <c r="J126" s="168">
        <f t="shared" si="13"/>
        <v>0</v>
      </c>
      <c r="K126" s="115">
        <f t="shared" si="13"/>
        <v>0</v>
      </c>
      <c r="M126" s="168">
        <f t="shared" si="14"/>
        <v>0</v>
      </c>
      <c r="N126" s="115">
        <f t="shared" si="14"/>
        <v>0</v>
      </c>
      <c r="P126" s="168">
        <f t="shared" si="15"/>
        <v>0</v>
      </c>
      <c r="Q126" s="115">
        <f t="shared" si="15"/>
        <v>0</v>
      </c>
      <c r="S126" s="168">
        <f t="shared" si="16"/>
        <v>0</v>
      </c>
      <c r="T126" s="115">
        <f t="shared" si="16"/>
        <v>0</v>
      </c>
      <c r="V126" s="168">
        <f t="shared" si="17"/>
        <v>0</v>
      </c>
      <c r="W126" s="115">
        <f t="shared" si="17"/>
        <v>0</v>
      </c>
      <c r="Y126" s="168">
        <f t="shared" si="18"/>
        <v>0</v>
      </c>
      <c r="Z126" s="115">
        <f t="shared" si="18"/>
        <v>0</v>
      </c>
      <c r="AB126" s="168">
        <f t="shared" si="19"/>
        <v>0</v>
      </c>
      <c r="AC126" s="115">
        <f t="shared" si="19"/>
        <v>0</v>
      </c>
      <c r="AE126" s="168">
        <f>IF(AE118=1,AE112,0)</f>
        <v>0</v>
      </c>
      <c r="AT126" s="513"/>
      <c r="AU126" s="513"/>
      <c r="AV126" s="513"/>
      <c r="AW126" s="514"/>
      <c r="AX126" s="513"/>
      <c r="AY126" s="513"/>
    </row>
    <row r="127" spans="1:51" s="115" customFormat="1" ht="12.75" hidden="1" customHeight="1">
      <c r="A127" s="115" t="s">
        <v>211</v>
      </c>
      <c r="B127" s="115">
        <f>IF(B119=1,B113,0)</f>
        <v>0</v>
      </c>
      <c r="D127" s="168">
        <f t="shared" si="11"/>
        <v>0</v>
      </c>
      <c r="E127" s="115">
        <f t="shared" si="11"/>
        <v>0</v>
      </c>
      <c r="G127" s="168">
        <f t="shared" si="12"/>
        <v>0</v>
      </c>
      <c r="H127" s="115">
        <f t="shared" si="12"/>
        <v>0</v>
      </c>
      <c r="J127" s="168">
        <f t="shared" si="13"/>
        <v>0</v>
      </c>
      <c r="K127" s="115">
        <f t="shared" si="13"/>
        <v>0</v>
      </c>
      <c r="M127" s="168">
        <f t="shared" si="14"/>
        <v>0</v>
      </c>
      <c r="N127" s="115">
        <f t="shared" si="14"/>
        <v>0</v>
      </c>
      <c r="P127" s="168">
        <f t="shared" si="15"/>
        <v>0</v>
      </c>
      <c r="Q127" s="115">
        <f t="shared" si="15"/>
        <v>0</v>
      </c>
      <c r="S127" s="168">
        <f t="shared" si="16"/>
        <v>0</v>
      </c>
      <c r="T127" s="115">
        <f t="shared" si="16"/>
        <v>0</v>
      </c>
      <c r="V127" s="168">
        <f t="shared" si="17"/>
        <v>0</v>
      </c>
      <c r="W127" s="115">
        <f t="shared" si="17"/>
        <v>0</v>
      </c>
      <c r="Y127" s="168">
        <f t="shared" si="18"/>
        <v>0</v>
      </c>
      <c r="Z127" s="115">
        <f t="shared" si="18"/>
        <v>0</v>
      </c>
      <c r="AB127" s="168">
        <f t="shared" si="19"/>
        <v>0</v>
      </c>
      <c r="AC127" s="115">
        <f t="shared" si="19"/>
        <v>0</v>
      </c>
      <c r="AE127" s="168">
        <f>IF(AE119=1,AE113,0)</f>
        <v>0</v>
      </c>
      <c r="AT127" s="513"/>
      <c r="AU127" s="513"/>
      <c r="AV127" s="513"/>
      <c r="AW127" s="514"/>
      <c r="AX127" s="513"/>
      <c r="AY127" s="513"/>
    </row>
    <row r="128" spans="1:51" s="115" customFormat="1" ht="12.75" hidden="1" customHeight="1">
      <c r="A128" s="115" t="s">
        <v>212</v>
      </c>
      <c r="B128" s="115">
        <f>IF(B120=1,B114,0)</f>
        <v>0</v>
      </c>
      <c r="D128" s="168">
        <f t="shared" si="11"/>
        <v>0</v>
      </c>
      <c r="E128" s="115">
        <f t="shared" si="11"/>
        <v>0</v>
      </c>
      <c r="G128" s="168">
        <f t="shared" si="12"/>
        <v>0</v>
      </c>
      <c r="H128" s="115">
        <f t="shared" si="12"/>
        <v>0</v>
      </c>
      <c r="J128" s="168">
        <f t="shared" si="13"/>
        <v>0</v>
      </c>
      <c r="K128" s="115">
        <f t="shared" si="13"/>
        <v>0</v>
      </c>
      <c r="M128" s="168">
        <f t="shared" si="14"/>
        <v>0</v>
      </c>
      <c r="N128" s="115">
        <f t="shared" si="14"/>
        <v>0</v>
      </c>
      <c r="P128" s="168">
        <f t="shared" si="15"/>
        <v>0</v>
      </c>
      <c r="Q128" s="115">
        <f t="shared" si="15"/>
        <v>0</v>
      </c>
      <c r="S128" s="168">
        <f t="shared" si="16"/>
        <v>0</v>
      </c>
      <c r="T128" s="115">
        <f t="shared" si="16"/>
        <v>0</v>
      </c>
      <c r="V128" s="168">
        <f t="shared" si="17"/>
        <v>0</v>
      </c>
      <c r="W128" s="115">
        <f t="shared" si="17"/>
        <v>0</v>
      </c>
      <c r="Y128" s="168">
        <f t="shared" si="18"/>
        <v>0</v>
      </c>
      <c r="Z128" s="115">
        <f t="shared" si="18"/>
        <v>0</v>
      </c>
      <c r="AB128" s="168">
        <f t="shared" si="19"/>
        <v>0</v>
      </c>
      <c r="AC128" s="115">
        <f t="shared" si="19"/>
        <v>0</v>
      </c>
      <c r="AE128" s="168">
        <f>IF(AE120=1,AE114,0)</f>
        <v>0</v>
      </c>
      <c r="AT128" s="513"/>
      <c r="AU128" s="513"/>
      <c r="AV128" s="513"/>
      <c r="AW128" s="514"/>
      <c r="AX128" s="513"/>
      <c r="AY128" s="513"/>
    </row>
    <row r="129" spans="1:51" s="115" customFormat="1" ht="38.25" hidden="1" customHeight="1">
      <c r="A129" s="167" t="s">
        <v>213</v>
      </c>
      <c r="B129" s="115">
        <f>SUM(B124:D128)</f>
        <v>48</v>
      </c>
      <c r="D129" s="168"/>
      <c r="E129" s="115">
        <f>SUM(E124:G128)</f>
        <v>39</v>
      </c>
      <c r="G129" s="168"/>
      <c r="H129" s="115">
        <f>SUM(H124:J128)</f>
        <v>37</v>
      </c>
      <c r="J129" s="168"/>
      <c r="K129" s="115">
        <f>SUM(K124:M128)</f>
        <v>0</v>
      </c>
      <c r="M129" s="168"/>
      <c r="N129" s="115">
        <f>SUM(N124:P128)</f>
        <v>0</v>
      </c>
      <c r="P129" s="168"/>
      <c r="Q129" s="115">
        <f>SUM(Q124:S128)</f>
        <v>0</v>
      </c>
      <c r="S129" s="168"/>
      <c r="T129" s="115">
        <f>SUM(T124:V128)</f>
        <v>0</v>
      </c>
      <c r="V129" s="168"/>
      <c r="W129" s="115">
        <f>SUM(W124:Y128)</f>
        <v>0</v>
      </c>
      <c r="Y129" s="168"/>
      <c r="Z129" s="115">
        <f>SUM(Z124:AB128)</f>
        <v>0</v>
      </c>
      <c r="AB129" s="168"/>
      <c r="AC129" s="115">
        <f>SUM(AC124:AE128)</f>
        <v>0</v>
      </c>
      <c r="AE129" s="168"/>
      <c r="AT129" s="513"/>
      <c r="AU129" s="513"/>
      <c r="AV129" s="513"/>
      <c r="AW129" s="514"/>
      <c r="AX129" s="513"/>
      <c r="AY129" s="513"/>
    </row>
    <row r="130" spans="1:51" s="115" customFormat="1" ht="38.25" hidden="1" customHeight="1">
      <c r="A130" s="115" t="s">
        <v>214</v>
      </c>
      <c r="D130" s="168"/>
      <c r="G130" s="168"/>
      <c r="J130" s="168"/>
      <c r="M130" s="168"/>
      <c r="P130" s="168"/>
      <c r="S130" s="168"/>
      <c r="V130" s="168"/>
      <c r="Y130" s="168"/>
      <c r="AB130" s="168"/>
      <c r="AE130" s="168"/>
      <c r="AF130" s="167" t="s">
        <v>215</v>
      </c>
      <c r="AG130" s="115" t="s">
        <v>216</v>
      </c>
      <c r="AT130" s="513"/>
      <c r="AU130" s="513"/>
      <c r="AV130" s="513"/>
      <c r="AW130" s="514"/>
      <c r="AX130" s="513"/>
      <c r="AY130" s="513"/>
    </row>
    <row r="131" spans="1:51" s="115" customFormat="1" ht="12.75" hidden="1" customHeight="1">
      <c r="A131" s="115" t="s">
        <v>38</v>
      </c>
      <c r="B131" s="115">
        <f>IF(B109=1,IF(B122=1,1,0),0)</f>
        <v>1</v>
      </c>
      <c r="D131" s="168">
        <f>IF(D109=1,IF(D122=1,1,0),0)</f>
        <v>0</v>
      </c>
      <c r="E131" s="115">
        <f>IF(E109=1,IF(E122=1,1,0),0)</f>
        <v>0</v>
      </c>
      <c r="G131" s="168">
        <f>IF(G109=1,IF(G122=1,1,0),0)</f>
        <v>0</v>
      </c>
      <c r="H131" s="115">
        <f>IF(H109=1,IF(H122=1,1,0),0)</f>
        <v>0</v>
      </c>
      <c r="J131" s="168">
        <f>IF(J109=1,IF(J122=1,1,0),0)</f>
        <v>0</v>
      </c>
      <c r="K131" s="115">
        <f>IF(K109=1,IF(K122=1,1,0),0)</f>
        <v>0</v>
      </c>
      <c r="M131" s="168">
        <f>IF(M109=1,IF(M122=1,1,0),0)</f>
        <v>0</v>
      </c>
      <c r="N131" s="115">
        <f>IF(N109=1,IF(N122=1,1,0),0)</f>
        <v>0</v>
      </c>
      <c r="P131" s="168">
        <f>IF(P109=1,IF(P122=1,1,0),0)</f>
        <v>0</v>
      </c>
      <c r="Q131" s="115">
        <f>IF(Q109=1,IF(Q122=1,1,0),0)</f>
        <v>0</v>
      </c>
      <c r="S131" s="168">
        <f>IF(S109=1,IF(S122=1,1,0),0)</f>
        <v>0</v>
      </c>
      <c r="T131" s="115">
        <f>IF(T109=1,IF(T122=1,1,0),0)</f>
        <v>0</v>
      </c>
      <c r="V131" s="168">
        <f>IF(V109=1,IF(V122=1,1,0),0)</f>
        <v>0</v>
      </c>
      <c r="W131" s="115">
        <f>IF(W109=1,IF(W122=1,1,0),0)</f>
        <v>0</v>
      </c>
      <c r="Y131" s="168">
        <f>IF(Y109=1,IF(Y122=1,1,0),0)</f>
        <v>0</v>
      </c>
      <c r="Z131" s="115">
        <f>IF(Z109=1,IF(Z122=1,1,0),0)</f>
        <v>0</v>
      </c>
      <c r="AB131" s="168">
        <f>IF(AB109=1,IF(AB122=1,1,0),0)</f>
        <v>0</v>
      </c>
      <c r="AC131" s="115">
        <f>IF(AC109=1,IF(AC122=1,1,0),0)</f>
        <v>0</v>
      </c>
      <c r="AE131" s="168">
        <f>IF(AE109=1,IF(AE122=1,1,0),0)</f>
        <v>0</v>
      </c>
      <c r="AF131" s="115">
        <f>SUM(B131:AE131)</f>
        <v>1</v>
      </c>
      <c r="AG131" s="115">
        <f>AF137-AF131</f>
        <v>1</v>
      </c>
      <c r="AT131" s="513"/>
      <c r="AU131" s="513"/>
      <c r="AV131" s="513"/>
      <c r="AW131" s="514"/>
      <c r="AX131" s="513"/>
      <c r="AY131" s="513"/>
    </row>
    <row r="132" spans="1:51" s="115" customFormat="1" ht="12.75" hidden="1" customHeight="1">
      <c r="A132" s="115" t="s">
        <v>39</v>
      </c>
      <c r="B132" s="115">
        <f>IF(B109=2,IF(B122=1,1,0),0)</f>
        <v>0</v>
      </c>
      <c r="D132" s="168">
        <f>IF(D109=2,IF(D122=1,1,0),0)</f>
        <v>0</v>
      </c>
      <c r="E132" s="115">
        <f>IF(E109=2,IF(E122=1,1,0),0)</f>
        <v>0</v>
      </c>
      <c r="G132" s="168">
        <f>IF(G109=2,IF(G122=1,1,0),0)</f>
        <v>0</v>
      </c>
      <c r="H132" s="115">
        <f>IF(H109=2,IF(H122=1,1,0),0)</f>
        <v>0</v>
      </c>
      <c r="J132" s="168">
        <f>IF(J109=2,IF(J122=1,1,0),0)</f>
        <v>0</v>
      </c>
      <c r="K132" s="115">
        <f>IF(K109=2,IF(K122=1,1,0),0)</f>
        <v>0</v>
      </c>
      <c r="M132" s="168">
        <f>IF(M109=2,IF(M122=1,1,0),0)</f>
        <v>0</v>
      </c>
      <c r="N132" s="115">
        <f>IF(N109=2,IF(N122=1,1,0),0)</f>
        <v>0</v>
      </c>
      <c r="P132" s="168">
        <f>IF(P109=2,IF(P122=1,1,0),0)</f>
        <v>0</v>
      </c>
      <c r="Q132" s="115">
        <f>IF(Q109=2,IF(Q122=1,1,0),0)</f>
        <v>0</v>
      </c>
      <c r="S132" s="168">
        <f>IF(S109=2,IF(S122=1,1,0),0)</f>
        <v>0</v>
      </c>
      <c r="T132" s="115">
        <f>IF(T109=2,IF(T122=1,1,0),0)</f>
        <v>0</v>
      </c>
      <c r="V132" s="168">
        <f>IF(V109=2,IF(V122=1,1,0),0)</f>
        <v>0</v>
      </c>
      <c r="W132" s="115">
        <f>IF(W109=2,IF(W122=1,1,0),0)</f>
        <v>0</v>
      </c>
      <c r="Y132" s="168">
        <f>IF(Y109=2,IF(Y122=1,1,0),0)</f>
        <v>0</v>
      </c>
      <c r="Z132" s="115">
        <f>IF(Z109=2,IF(Z122=1,1,0),0)</f>
        <v>0</v>
      </c>
      <c r="AB132" s="168">
        <f>IF(AB109=2,IF(AB122=1,1,0),0)</f>
        <v>0</v>
      </c>
      <c r="AC132" s="115">
        <f>IF(AC109=2,IF(AC122=1,1,0),0)</f>
        <v>0</v>
      </c>
      <c r="AE132" s="168">
        <f>IF(AE109=2,IF(AE122=1,1,0),0)</f>
        <v>0</v>
      </c>
      <c r="AF132" s="115">
        <f>SUM(B132:AE132)</f>
        <v>0</v>
      </c>
      <c r="AG132" s="115">
        <f>AF138-AF132</f>
        <v>2</v>
      </c>
      <c r="AT132" s="513"/>
      <c r="AU132" s="513"/>
      <c r="AV132" s="513"/>
      <c r="AW132" s="514"/>
      <c r="AX132" s="513"/>
      <c r="AY132" s="513"/>
    </row>
    <row r="133" spans="1:51" s="115" customFormat="1" ht="12.75" hidden="1" customHeight="1">
      <c r="A133" s="115" t="s">
        <v>40</v>
      </c>
      <c r="B133" s="115">
        <f>IF(B109=3,IF(B122=1,1,0),0)</f>
        <v>0</v>
      </c>
      <c r="D133" s="168">
        <f>IF(D109=3,IF(D122=1,1,0),0)</f>
        <v>0</v>
      </c>
      <c r="E133" s="115">
        <f>IF(E109=3,IF(E122=1,1,0),0)</f>
        <v>0</v>
      </c>
      <c r="G133" s="168">
        <f>IF(G109=3,IF(G122=1,1,0),0)</f>
        <v>1</v>
      </c>
      <c r="H133" s="115">
        <f>IF(H109=3,IF(H122=1,1,0),0)</f>
        <v>0</v>
      </c>
      <c r="J133" s="168">
        <f>IF(J109=3,IF(J122=1,1,0),0)</f>
        <v>1</v>
      </c>
      <c r="K133" s="115">
        <f>IF(K109=3,IF(K122=1,1,0),0)</f>
        <v>0</v>
      </c>
      <c r="M133" s="168">
        <f>IF(M109=3,IF(M122=1,1,0),0)</f>
        <v>0</v>
      </c>
      <c r="N133" s="115">
        <f>IF(N109=3,IF(N122=1,1,0),0)</f>
        <v>0</v>
      </c>
      <c r="P133" s="168">
        <f>IF(P109=3,IF(P122=1,1,0),0)</f>
        <v>0</v>
      </c>
      <c r="Q133" s="115">
        <f>IF(Q109=3,IF(Q122=1,1,0),0)</f>
        <v>0</v>
      </c>
      <c r="S133" s="168">
        <f>IF(S109=3,IF(S122=1,1,0),0)</f>
        <v>0</v>
      </c>
      <c r="T133" s="115">
        <f>IF(T109=3,IF(T122=1,1,0),0)</f>
        <v>0</v>
      </c>
      <c r="V133" s="168">
        <f>IF(V109=3,IF(V122=1,1,0),0)</f>
        <v>0</v>
      </c>
      <c r="W133" s="115">
        <f>IF(W109=3,IF(W122=1,1,0),0)</f>
        <v>0</v>
      </c>
      <c r="Y133" s="168">
        <f>IF(Y109=3,IF(Y122=1,1,0),0)</f>
        <v>0</v>
      </c>
      <c r="Z133" s="115">
        <f>IF(Z109=3,IF(Z122=1,1,0),0)</f>
        <v>0</v>
      </c>
      <c r="AB133" s="168">
        <f>IF(AB109=3,IF(AB122=1,1,0),0)</f>
        <v>0</v>
      </c>
      <c r="AC133" s="115">
        <f>IF(AC109=3,IF(AC122=1,1,0),0)</f>
        <v>0</v>
      </c>
      <c r="AE133" s="168">
        <f>IF(AE109=3,IF(AE122=1,1,0),0)</f>
        <v>0</v>
      </c>
      <c r="AF133" s="115">
        <f>SUM(B133:AE133)</f>
        <v>2</v>
      </c>
      <c r="AG133" s="115">
        <f>AF139-AF133</f>
        <v>0</v>
      </c>
      <c r="AT133" s="513"/>
      <c r="AU133" s="513"/>
      <c r="AV133" s="513"/>
      <c r="AW133" s="514"/>
      <c r="AX133" s="513"/>
      <c r="AY133" s="513"/>
    </row>
    <row r="134" spans="1:51" s="115" customFormat="1" ht="12.75" hidden="1" customHeight="1">
      <c r="A134" s="115" t="s">
        <v>41</v>
      </c>
      <c r="B134" s="115">
        <f>IF(B109=4,IF(B122=1,1,0),0)</f>
        <v>0</v>
      </c>
      <c r="D134" s="168">
        <f>IF(D109=4,IF(D122=1,1,0),0)</f>
        <v>0</v>
      </c>
      <c r="E134" s="115">
        <f>IF(E109=4,IF(E122=1,1,0),0)</f>
        <v>0</v>
      </c>
      <c r="G134" s="168">
        <f>IF(G109=4,IF(G122=1,1,0),0)</f>
        <v>0</v>
      </c>
      <c r="H134" s="115">
        <f>IF(H109=4,IF(H122=1,1,0),0)</f>
        <v>0</v>
      </c>
      <c r="J134" s="168">
        <f>IF(J109=4,IF(J122=1,1,0),0)</f>
        <v>0</v>
      </c>
      <c r="K134" s="115">
        <f>IF(K109=4,IF(K122=1,1,0),0)</f>
        <v>0</v>
      </c>
      <c r="M134" s="168">
        <f>IF(M109=4,IF(M122=1,1,0),0)</f>
        <v>0</v>
      </c>
      <c r="N134" s="115">
        <f>IF(N109=4,IF(N122=1,1,0),0)</f>
        <v>0</v>
      </c>
      <c r="P134" s="168">
        <f>IF(P109=4,IF(P122=1,1,0),0)</f>
        <v>0</v>
      </c>
      <c r="Q134" s="115">
        <f>IF(Q109=4,IF(Q122=1,1,0),0)</f>
        <v>0</v>
      </c>
      <c r="S134" s="168">
        <f>IF(S109=4,IF(S122=1,1,0),0)</f>
        <v>0</v>
      </c>
      <c r="T134" s="115">
        <f>IF(T109=4,IF(T122=1,1,0),0)</f>
        <v>0</v>
      </c>
      <c r="V134" s="168">
        <f>IF(V109=4,IF(V122=1,1,0),0)</f>
        <v>0</v>
      </c>
      <c r="W134" s="115">
        <f>IF(W109=4,IF(W122=1,1,0),0)</f>
        <v>0</v>
      </c>
      <c r="Y134" s="168">
        <f>IF(Y109=4,IF(Y122=1,1,0),0)</f>
        <v>0</v>
      </c>
      <c r="Z134" s="115">
        <f>IF(Z109=4,IF(Z122=1,1,0),0)</f>
        <v>0</v>
      </c>
      <c r="AB134" s="168">
        <f>IF(AB109=4,IF(AB122=1,1,0),0)</f>
        <v>0</v>
      </c>
      <c r="AC134" s="115">
        <f>IF(AC109=4,IF(AC122=1,1,0),0)</f>
        <v>0</v>
      </c>
      <c r="AE134" s="168">
        <f>IF(AE109=4,IF(AE122=1,1,0),0)</f>
        <v>0</v>
      </c>
      <c r="AF134" s="115">
        <f>SUM(B134:AE134)</f>
        <v>0</v>
      </c>
      <c r="AG134" s="115">
        <f>AF140-AF134</f>
        <v>0</v>
      </c>
      <c r="AT134" s="513"/>
      <c r="AU134" s="513"/>
      <c r="AV134" s="513"/>
      <c r="AW134" s="514"/>
      <c r="AX134" s="513"/>
      <c r="AY134" s="513"/>
    </row>
    <row r="135" spans="1:51" s="115" customFormat="1" ht="12.75" hidden="1" customHeight="1">
      <c r="A135" s="115" t="s">
        <v>42</v>
      </c>
      <c r="B135" s="115">
        <f>IF(B109=5,IF(B122=1,1,0),0)</f>
        <v>0</v>
      </c>
      <c r="D135" s="168">
        <f>IF(D109=5,IF(D122=1,1,0),0)</f>
        <v>0</v>
      </c>
      <c r="E135" s="115">
        <f>IF(E109=5,IF(E122=1,1,0),0)</f>
        <v>0</v>
      </c>
      <c r="G135" s="168">
        <f>IF(G109=5,IF(G122=1,1,0),0)</f>
        <v>0</v>
      </c>
      <c r="H135" s="115">
        <f>IF(H109=5,IF(H122=1,1,0),0)</f>
        <v>0</v>
      </c>
      <c r="J135" s="168">
        <f>IF(J109=5,IF(J122=1,1,0),0)</f>
        <v>0</v>
      </c>
      <c r="K135" s="115">
        <f>IF(K109=5,IF(K122=1,1,0),0)</f>
        <v>0</v>
      </c>
      <c r="M135" s="168">
        <f>IF(M109=5,IF(M122=1,1,0),0)</f>
        <v>0</v>
      </c>
      <c r="N135" s="115">
        <f>IF(N109=5,IF(N122=1,1,0),0)</f>
        <v>0</v>
      </c>
      <c r="P135" s="168">
        <f>IF(P109=5,IF(P122=1,1,0),0)</f>
        <v>0</v>
      </c>
      <c r="Q135" s="115">
        <f>IF(Q109=5,IF(Q122=1,1,0),0)</f>
        <v>0</v>
      </c>
      <c r="S135" s="168">
        <f>IF(S109=5,IF(S122=1,1,0),0)</f>
        <v>0</v>
      </c>
      <c r="T135" s="115">
        <f>IF(T109=5,IF(T122=1,1,0),0)</f>
        <v>0</v>
      </c>
      <c r="V135" s="168">
        <f>IF(V109=5,IF(V122=1,1,0),0)</f>
        <v>0</v>
      </c>
      <c r="W135" s="115">
        <f>IF(W109=5,IF(W122=1,1,0),0)</f>
        <v>0</v>
      </c>
      <c r="Y135" s="168">
        <f>IF(Y109=5,IF(Y122=1,1,0),0)</f>
        <v>0</v>
      </c>
      <c r="Z135" s="115">
        <f>IF(Z109=5,IF(Z122=1,1,0),0)</f>
        <v>0</v>
      </c>
      <c r="AB135" s="168">
        <f>IF(AB109=5,IF(AB122=1,1,0),0)</f>
        <v>0</v>
      </c>
      <c r="AC135" s="115">
        <f>IF(AC109=5,IF(AC122=1,1,0),0)</f>
        <v>0</v>
      </c>
      <c r="AE135" s="168">
        <f>IF(AE109=5,IF(AE122=1,1,0),0)</f>
        <v>0</v>
      </c>
      <c r="AF135" s="115">
        <f>SUM(B135:AE135)</f>
        <v>0</v>
      </c>
      <c r="AG135" s="115">
        <f>AF141-AF135</f>
        <v>0</v>
      </c>
      <c r="AT135" s="513"/>
      <c r="AU135" s="513"/>
      <c r="AV135" s="513"/>
      <c r="AW135" s="514"/>
      <c r="AX135" s="513"/>
      <c r="AY135" s="513"/>
    </row>
    <row r="136" spans="1:51" s="115" customFormat="1" ht="38.25" hidden="1" customHeight="1">
      <c r="A136" s="167"/>
      <c r="D136" s="168"/>
      <c r="G136" s="168"/>
      <c r="J136" s="168"/>
      <c r="M136" s="168"/>
      <c r="P136" s="168"/>
      <c r="S136" s="168"/>
      <c r="V136" s="168"/>
      <c r="Y136" s="168"/>
      <c r="AB136" s="168"/>
      <c r="AE136" s="168"/>
      <c r="AF136" s="167" t="s">
        <v>217</v>
      </c>
      <c r="AT136" s="513"/>
      <c r="AU136" s="513"/>
      <c r="AV136" s="513"/>
      <c r="AW136" s="514"/>
      <c r="AX136" s="513"/>
      <c r="AY136" s="513"/>
    </row>
    <row r="137" spans="1:51" s="115" customFormat="1" ht="12.75" hidden="1" customHeight="1">
      <c r="A137" s="115" t="s">
        <v>43</v>
      </c>
      <c r="B137" s="115">
        <f>IF(B109=1,IF(C122=1,1,0),0)</f>
        <v>1</v>
      </c>
      <c r="D137" s="168">
        <f>IF(D109=1,IF(C122=1,1,0),0)</f>
        <v>0</v>
      </c>
      <c r="E137" s="115">
        <f>IF(E109=1,IF(F122=1,1,0),0)</f>
        <v>0</v>
      </c>
      <c r="G137" s="168">
        <f>IF(G109=1,IF(F122=1,1,0),0)</f>
        <v>0</v>
      </c>
      <c r="H137" s="115">
        <f>IF(H109=1,IF(I122=1,1,0),0)</f>
        <v>1</v>
      </c>
      <c r="J137" s="168">
        <f>IF(J109=1,IF(I122=1,1,0),0)</f>
        <v>0</v>
      </c>
      <c r="K137" s="115">
        <f>IF(K109=1,IF(L122=1,1,0),0)</f>
        <v>0</v>
      </c>
      <c r="M137" s="168">
        <f>IF(M109=1,IF(L122=1,1,0),0)</f>
        <v>0</v>
      </c>
      <c r="N137" s="115">
        <f>IF(N109=1,IF(O122=1,1,0),0)</f>
        <v>0</v>
      </c>
      <c r="P137" s="168">
        <f>IF(P109=1,IF(O122=1,1,0),0)</f>
        <v>0</v>
      </c>
      <c r="Q137" s="115">
        <f>IF(Q109=1,IF(R122=1,1,0),0)</f>
        <v>0</v>
      </c>
      <c r="S137" s="168">
        <f>IF(S109=1,IF(R122=1,1,0),0)</f>
        <v>0</v>
      </c>
      <c r="T137" s="115">
        <f>IF(T109=1,IF(U122=1,1,0),0)</f>
        <v>0</v>
      </c>
      <c r="V137" s="168">
        <f>IF(V109=1,IF(U122=1,1,0),0)</f>
        <v>0</v>
      </c>
      <c r="W137" s="115">
        <f>IF(W109=1,IF(X122=1,1,0),0)</f>
        <v>0</v>
      </c>
      <c r="Y137" s="168">
        <f>IF(Y109=1,IF(X122=1,1,0),0)</f>
        <v>0</v>
      </c>
      <c r="Z137" s="115">
        <f>IF(Z109=1,IF(AA122=1,1,0),0)</f>
        <v>0</v>
      </c>
      <c r="AB137" s="168">
        <f>IF(AB109=1,IF(AA122=1,1,0),0)</f>
        <v>0</v>
      </c>
      <c r="AC137" s="115">
        <f>IF(AC109=1,IF(AD122=1,1,0),0)</f>
        <v>0</v>
      </c>
      <c r="AE137" s="168">
        <f>IF(AE109=1,IF(AD122=1,1,0),0)</f>
        <v>0</v>
      </c>
      <c r="AF137" s="115">
        <f>SUM(B137:AE137)</f>
        <v>2</v>
      </c>
      <c r="AT137" s="513"/>
      <c r="AU137" s="513"/>
      <c r="AV137" s="513"/>
      <c r="AW137" s="514"/>
      <c r="AX137" s="513"/>
      <c r="AY137" s="513"/>
    </row>
    <row r="138" spans="1:51" s="115" customFormat="1" ht="12.75" hidden="1" customHeight="1">
      <c r="A138" s="115" t="s">
        <v>44</v>
      </c>
      <c r="B138" s="115">
        <f>IF(B109=2,IF(C122=1,1,0),0)</f>
        <v>0</v>
      </c>
      <c r="D138" s="168">
        <f>IF(D109=2,IF(C122=1,1,0),0)</f>
        <v>1</v>
      </c>
      <c r="E138" s="115">
        <f>IF(E109=2,IF(F122=1,1,0),0)</f>
        <v>1</v>
      </c>
      <c r="G138" s="168">
        <f>IF(G109=2,IF(F122=1,1,0),0)</f>
        <v>0</v>
      </c>
      <c r="H138" s="115">
        <f>IF(H109=2,IF(I122=1,1,0),0)</f>
        <v>0</v>
      </c>
      <c r="J138" s="168">
        <f>IF(J109=2,IF(I122=1,1,0),0)</f>
        <v>0</v>
      </c>
      <c r="K138" s="115">
        <f>IF(K109=2,IF(L122=1,1,0),0)</f>
        <v>0</v>
      </c>
      <c r="M138" s="168">
        <f>IF(M109=2,IF(L122=1,1,0),0)</f>
        <v>0</v>
      </c>
      <c r="N138" s="115">
        <f>IF(N109=2,IF(O122=1,1,0),0)</f>
        <v>0</v>
      </c>
      <c r="P138" s="168">
        <f>IF(P109=2,IF(O122=1,1,0),0)</f>
        <v>0</v>
      </c>
      <c r="Q138" s="115">
        <f>IF(Q109=2,IF(R122=1,1,0),0)</f>
        <v>0</v>
      </c>
      <c r="S138" s="168">
        <f>IF(S109=2,IF(R122=1,1,0),0)</f>
        <v>0</v>
      </c>
      <c r="T138" s="115">
        <f>IF(T109=2,IF(U122=1,1,0),0)</f>
        <v>0</v>
      </c>
      <c r="V138" s="168">
        <f>IF(V109=2,IF(U122=1,1,0),0)</f>
        <v>0</v>
      </c>
      <c r="W138" s="115">
        <f>IF(W109=2,IF(X122=1,1,0),0)</f>
        <v>0</v>
      </c>
      <c r="Y138" s="168">
        <f>IF(Y109=2,IF(X122=1,1,0),0)</f>
        <v>0</v>
      </c>
      <c r="Z138" s="115">
        <f>IF(Z109=2,IF(AA122=1,1,0),0)</f>
        <v>0</v>
      </c>
      <c r="AB138" s="168">
        <f>IF(AB109=2,IF(AA122=1,1,0),0)</f>
        <v>0</v>
      </c>
      <c r="AC138" s="115">
        <f>IF(AC109=2,IF(AD122=1,1,0),0)</f>
        <v>0</v>
      </c>
      <c r="AE138" s="168">
        <f>IF(AE109=2,IF(AD122=1,1,0),0)</f>
        <v>0</v>
      </c>
      <c r="AF138" s="115">
        <f>SUM(B138:AE138)</f>
        <v>2</v>
      </c>
      <c r="AT138" s="513"/>
      <c r="AU138" s="513"/>
      <c r="AV138" s="513"/>
      <c r="AW138" s="514"/>
      <c r="AX138" s="513"/>
      <c r="AY138" s="513"/>
    </row>
    <row r="139" spans="1:51" s="115" customFormat="1" ht="12.75" hidden="1" customHeight="1">
      <c r="A139" s="115" t="s">
        <v>45</v>
      </c>
      <c r="B139" s="115">
        <f>IF(B109=3,IF(C122=1,1,0),0)</f>
        <v>0</v>
      </c>
      <c r="D139" s="168">
        <f>IF(D109=3,IF(C122=1,1,0),0)</f>
        <v>0</v>
      </c>
      <c r="E139" s="115">
        <f>IF(E109=3,IF(F122=1,1,0),0)</f>
        <v>0</v>
      </c>
      <c r="G139" s="168">
        <f>IF(G109=3,IF(F122=1,1,0),0)</f>
        <v>1</v>
      </c>
      <c r="H139" s="115">
        <f>IF(H109=3,IF(I122=1,1,0),0)</f>
        <v>0</v>
      </c>
      <c r="J139" s="168">
        <f>IF(J109=3,IF(I122=1,1,0),0)</f>
        <v>1</v>
      </c>
      <c r="K139" s="115">
        <f>IF(K109=3,IF(L122=1,1,0),0)</f>
        <v>0</v>
      </c>
      <c r="M139" s="168">
        <f>IF(M109=3,IF(L122=1,1,0),0)</f>
        <v>0</v>
      </c>
      <c r="N139" s="115">
        <f>IF(N109=3,IF(O122=1,1,0),0)</f>
        <v>0</v>
      </c>
      <c r="P139" s="168">
        <f>IF(P109=3,IF(O122=1,1,0),0)</f>
        <v>0</v>
      </c>
      <c r="Q139" s="115">
        <f>IF(Q109=3,IF(R122=1,1,0),0)</f>
        <v>0</v>
      </c>
      <c r="S139" s="168">
        <f>IF(S109=3,IF(R122=1,1,0),0)</f>
        <v>0</v>
      </c>
      <c r="T139" s="115">
        <f>IF(T109=3,IF(U122=1,1,0),0)</f>
        <v>0</v>
      </c>
      <c r="V139" s="168">
        <f>IF(V109=3,IF(U122=1,1,0),0)</f>
        <v>0</v>
      </c>
      <c r="W139" s="115">
        <f>IF(W109=3,IF(X122=1,1,0),0)</f>
        <v>0</v>
      </c>
      <c r="Y139" s="168">
        <f>IF(Y109=3,IF(X122=1,1,0),0)</f>
        <v>0</v>
      </c>
      <c r="Z139" s="115">
        <f>IF(Z109=3,IF(AA122=1,1,0),0)</f>
        <v>0</v>
      </c>
      <c r="AB139" s="168">
        <f>IF(AB109=3,IF(AA122=1,1,0),0)</f>
        <v>0</v>
      </c>
      <c r="AC139" s="115">
        <f>IF(AC109=3,IF(AD122=1,1,0),0)</f>
        <v>0</v>
      </c>
      <c r="AE139" s="168">
        <f>IF(AE109=3,IF(AD122=1,1,0),0)</f>
        <v>0</v>
      </c>
      <c r="AF139" s="115">
        <f>SUM(B139:AE139)</f>
        <v>2</v>
      </c>
      <c r="AT139" s="513"/>
      <c r="AU139" s="513"/>
      <c r="AV139" s="513"/>
      <c r="AW139" s="514"/>
      <c r="AX139" s="513"/>
      <c r="AY139" s="513"/>
    </row>
    <row r="140" spans="1:51" s="115" customFormat="1" ht="12.75" hidden="1" customHeight="1">
      <c r="A140" s="115" t="s">
        <v>46</v>
      </c>
      <c r="B140" s="115">
        <f>IF(B109=4,IF(C122=1,1,0),0)</f>
        <v>0</v>
      </c>
      <c r="D140" s="168">
        <f>IF(D109=4,IF(C122=1,1,0),0)</f>
        <v>0</v>
      </c>
      <c r="E140" s="115">
        <f>IF(E109=4,IF(F122=1,1,0),0)</f>
        <v>0</v>
      </c>
      <c r="G140" s="168">
        <f>IF(G109=4,IF(F122=1,1,0),0)</f>
        <v>0</v>
      </c>
      <c r="H140" s="115">
        <f>IF(H109=4,IF(I122=1,1,0),0)</f>
        <v>0</v>
      </c>
      <c r="J140" s="168">
        <f>IF(J109=4,IF(I122=1,1,0),0)</f>
        <v>0</v>
      </c>
      <c r="K140" s="115">
        <f>IF(K109=4,IF(L122=1,1,0),0)</f>
        <v>0</v>
      </c>
      <c r="M140" s="168">
        <f>IF(M109=4,IF(L122=1,1,0),0)</f>
        <v>0</v>
      </c>
      <c r="N140" s="115">
        <f>IF(N109=4,IF(O122=1,1,0),0)</f>
        <v>0</v>
      </c>
      <c r="P140" s="168">
        <f>IF(P109=4,IF(O122=1,1,0),0)</f>
        <v>0</v>
      </c>
      <c r="Q140" s="115">
        <f>IF(Q109=4,IF(R122=1,1,0),0)</f>
        <v>0</v>
      </c>
      <c r="S140" s="168">
        <f>IF(S109=4,IF(R122=1,1,0),0)</f>
        <v>0</v>
      </c>
      <c r="T140" s="115">
        <f>IF(T109=4,IF(U122=1,1,0),0)</f>
        <v>0</v>
      </c>
      <c r="V140" s="168">
        <f>IF(V109=4,IF(U122=1,1,0),0)</f>
        <v>0</v>
      </c>
      <c r="W140" s="115">
        <f>IF(W109=4,IF(X122=1,1,0),0)</f>
        <v>0</v>
      </c>
      <c r="Y140" s="168">
        <f>IF(Y109=4,IF(X122=1,1,0),0)</f>
        <v>0</v>
      </c>
      <c r="Z140" s="115">
        <f>IF(Z109=4,IF(AA122=1,1,0),0)</f>
        <v>0</v>
      </c>
      <c r="AB140" s="168">
        <f>IF(AB109=4,IF(AA122=1,1,0),0)</f>
        <v>0</v>
      </c>
      <c r="AC140" s="115">
        <f>IF(AC109=4,IF(AD122=1,1,0),0)</f>
        <v>0</v>
      </c>
      <c r="AE140" s="168">
        <f>IF(AE109=4,IF(AD122=1,1,0),0)</f>
        <v>0</v>
      </c>
      <c r="AF140" s="115">
        <f>SUM(B140:AE140)</f>
        <v>0</v>
      </c>
      <c r="AT140" s="513"/>
      <c r="AU140" s="513"/>
      <c r="AV140" s="513"/>
      <c r="AW140" s="514"/>
      <c r="AX140" s="513"/>
      <c r="AY140" s="513"/>
    </row>
    <row r="141" spans="1:51" s="115" customFormat="1" ht="12.75" hidden="1" customHeight="1">
      <c r="A141" s="115" t="s">
        <v>47</v>
      </c>
      <c r="B141" s="115">
        <f>IF(B109=5,IF(C122=1,1,0),0)</f>
        <v>0</v>
      </c>
      <c r="D141" s="168">
        <f>IF(D109=5,IF(C122=1,1,0),0)</f>
        <v>0</v>
      </c>
      <c r="E141" s="115">
        <f>IF(E109=5,IF(F122=1,1,0),0)</f>
        <v>0</v>
      </c>
      <c r="G141" s="168">
        <f>IF(G109=5,IF(F122=1,1,0),0)</f>
        <v>0</v>
      </c>
      <c r="H141" s="115">
        <f>IF(H109=5,IF(I122=1,1,0),0)</f>
        <v>0</v>
      </c>
      <c r="J141" s="168">
        <f>IF(J109=5,IF(I122=1,1,0),0)</f>
        <v>0</v>
      </c>
      <c r="K141" s="115">
        <f>IF(K109=5,IF(L122=1,1,0),0)</f>
        <v>0</v>
      </c>
      <c r="M141" s="168">
        <f>IF(M109=5,IF(L122=1,1,0),0)</f>
        <v>0</v>
      </c>
      <c r="N141" s="115">
        <f>IF(N109=5,IF(O122=1,1,0),0)</f>
        <v>0</v>
      </c>
      <c r="P141" s="168">
        <f>IF(P109=5,IF(O122=1,1,0),0)</f>
        <v>0</v>
      </c>
      <c r="Q141" s="115">
        <f>IF(Q109=5,IF(R122=1,1,0),0)</f>
        <v>0</v>
      </c>
      <c r="S141" s="168">
        <f>IF(S109=5,IF(R122=1,1,0),0)</f>
        <v>0</v>
      </c>
      <c r="T141" s="115">
        <f>IF(T109=5,IF(U122=1,1,0),0)</f>
        <v>0</v>
      </c>
      <c r="V141" s="168">
        <f>IF(V109=5,IF(U122=1,1,0),0)</f>
        <v>0</v>
      </c>
      <c r="W141" s="115">
        <f>IF(W109=5,IF(X122=1,1,0),0)</f>
        <v>0</v>
      </c>
      <c r="Y141" s="168">
        <f>IF(Y109=5,IF(X122=1,1,0),0)</f>
        <v>0</v>
      </c>
      <c r="Z141" s="115">
        <f>IF(Z109=5,IF(AA122=1,1,0),0)</f>
        <v>0</v>
      </c>
      <c r="AB141" s="168">
        <f>IF(AB109=5,IF(AA122=1,1,0),0)</f>
        <v>0</v>
      </c>
      <c r="AC141" s="115">
        <f>IF(AC109=5,IF(AD122=1,1,0),0)</f>
        <v>0</v>
      </c>
      <c r="AE141" s="168">
        <f>IF(AE109=5,IF(AD122=1,1,0),0)</f>
        <v>0</v>
      </c>
      <c r="AF141" s="115">
        <f>SUM(B141:AE141)</f>
        <v>0</v>
      </c>
      <c r="AT141" s="513"/>
      <c r="AU141" s="513"/>
      <c r="AV141" s="513"/>
      <c r="AW141" s="514"/>
      <c r="AX141" s="513"/>
      <c r="AY141" s="513"/>
    </row>
    <row r="142" spans="1:51" s="115" customFormat="1" ht="38.25" hidden="1" customHeight="1">
      <c r="A142" s="167"/>
      <c r="D142" s="168"/>
      <c r="G142" s="168"/>
      <c r="J142" s="168"/>
      <c r="M142" s="168"/>
      <c r="P142" s="168"/>
      <c r="S142" s="168"/>
      <c r="V142" s="168"/>
      <c r="Y142" s="168"/>
      <c r="AB142" s="168"/>
      <c r="AE142" s="168"/>
      <c r="AF142" s="167" t="s">
        <v>218</v>
      </c>
      <c r="AG142" s="392"/>
      <c r="AH142" s="392"/>
      <c r="AI142" s="392"/>
      <c r="AJ142" s="392"/>
      <c r="AK142" s="392"/>
      <c r="AT142" s="513"/>
      <c r="AU142" s="513"/>
      <c r="AV142" s="513"/>
      <c r="AW142" s="514"/>
      <c r="AX142" s="513"/>
      <c r="AY142" s="513"/>
    </row>
    <row r="143" spans="1:51" s="115" customFormat="1" ht="12.75" hidden="1" customHeight="1">
      <c r="A143" s="115" t="s">
        <v>43</v>
      </c>
      <c r="B143" s="115">
        <f>IF(B109=1,B129,0)</f>
        <v>48</v>
      </c>
      <c r="D143" s="168">
        <f>IF(D109=1,B129,0)</f>
        <v>0</v>
      </c>
      <c r="E143" s="115">
        <f>IF(E109=1,E129,0)</f>
        <v>0</v>
      </c>
      <c r="G143" s="168">
        <f>IF(G109=1,E129,0)</f>
        <v>0</v>
      </c>
      <c r="H143" s="115">
        <f>IF(H109=1,H129,0)</f>
        <v>37</v>
      </c>
      <c r="J143" s="168">
        <f>IF(J109=1,H129,0)</f>
        <v>0</v>
      </c>
      <c r="K143" s="115">
        <f>IF(K109=1,K129,0)</f>
        <v>0</v>
      </c>
      <c r="M143" s="168">
        <f>IF(M109=1,K129,0)</f>
        <v>0</v>
      </c>
      <c r="N143" s="115">
        <f>IF(N109=1,N129,0)</f>
        <v>0</v>
      </c>
      <c r="P143" s="168">
        <f>IF(P109=1,N129,0)</f>
        <v>0</v>
      </c>
      <c r="Q143" s="115">
        <f>IF(Q109=1,Q129,0)</f>
        <v>0</v>
      </c>
      <c r="S143" s="168">
        <f>IF(S109=1,Q129,0)</f>
        <v>0</v>
      </c>
      <c r="T143" s="115">
        <f>IF(T109=1,T129,0)</f>
        <v>0</v>
      </c>
      <c r="V143" s="168">
        <f>IF(V109=1,T129,0)</f>
        <v>0</v>
      </c>
      <c r="W143" s="115">
        <f>IF(W109=1,W129,0)</f>
        <v>0</v>
      </c>
      <c r="Y143" s="168">
        <f>IF(Y109=1,W129,0)</f>
        <v>0</v>
      </c>
      <c r="Z143" s="115">
        <f>IF(Z109=1,Z129,0)</f>
        <v>0</v>
      </c>
      <c r="AB143" s="168">
        <f>IF(AB109=1,Z129,0)</f>
        <v>0</v>
      </c>
      <c r="AC143" s="115">
        <f>IF(AC109=1,AC129,0)</f>
        <v>0</v>
      </c>
      <c r="AE143" s="168">
        <f>IF(AE109=1,AC129,0)</f>
        <v>0</v>
      </c>
      <c r="AF143" s="115">
        <f>SUM(B143:AE143)</f>
        <v>85</v>
      </c>
      <c r="AT143" s="513"/>
      <c r="AU143" s="513"/>
      <c r="AV143" s="513"/>
      <c r="AW143" s="514"/>
      <c r="AX143" s="513"/>
      <c r="AY143" s="513"/>
    </row>
    <row r="144" spans="1:51" s="115" customFormat="1" ht="12.75" hidden="1" customHeight="1">
      <c r="A144" s="115" t="s">
        <v>44</v>
      </c>
      <c r="B144" s="115">
        <f>IF(B109=2,B129,0)</f>
        <v>0</v>
      </c>
      <c r="D144" s="168">
        <f>IF(D109=2,B129,0)</f>
        <v>48</v>
      </c>
      <c r="E144" s="115">
        <f>IF(E109=2,E129,0)</f>
        <v>39</v>
      </c>
      <c r="G144" s="168">
        <f>IF(G109=2,E129,0)</f>
        <v>0</v>
      </c>
      <c r="H144" s="115">
        <f>IF(H109=2,H129,0)</f>
        <v>0</v>
      </c>
      <c r="J144" s="168">
        <f>IF(J109=2,H129,0)</f>
        <v>0</v>
      </c>
      <c r="K144" s="115">
        <f>IF(K109=2,K129,0)</f>
        <v>0</v>
      </c>
      <c r="M144" s="168">
        <f>IF(M109=2,K129,0)</f>
        <v>0</v>
      </c>
      <c r="N144" s="115">
        <f>IF(N109=2,N129,0)</f>
        <v>0</v>
      </c>
      <c r="P144" s="168">
        <f>IF(P109=2,N129,0)</f>
        <v>0</v>
      </c>
      <c r="Q144" s="115">
        <f>IF(Q109=2,Q129,0)</f>
        <v>0</v>
      </c>
      <c r="S144" s="168">
        <f>IF(S109=2,Q129,0)</f>
        <v>0</v>
      </c>
      <c r="T144" s="115">
        <f>IF(T109=2,T129,0)</f>
        <v>0</v>
      </c>
      <c r="V144" s="168">
        <f>IF(V109=2,T129,0)</f>
        <v>0</v>
      </c>
      <c r="W144" s="115">
        <f>IF(W109=2,W129,0)</f>
        <v>0</v>
      </c>
      <c r="Y144" s="168">
        <f>IF(Y109=2,W129,0)</f>
        <v>0</v>
      </c>
      <c r="Z144" s="115">
        <f>IF(Z109=2,Z129,0)</f>
        <v>0</v>
      </c>
      <c r="AB144" s="168">
        <f>IF(AB109=2,Z129,0)</f>
        <v>0</v>
      </c>
      <c r="AC144" s="115">
        <f>IF(AC109=2,AC129,0)</f>
        <v>0</v>
      </c>
      <c r="AE144" s="168">
        <f>IF(AE109=2,AC129,0)</f>
        <v>0</v>
      </c>
      <c r="AF144" s="115">
        <f>SUM(B144:AE144)</f>
        <v>87</v>
      </c>
      <c r="AT144" s="513"/>
      <c r="AU144" s="513"/>
      <c r="AV144" s="513"/>
      <c r="AW144" s="514"/>
      <c r="AX144" s="513"/>
      <c r="AY144" s="513"/>
    </row>
    <row r="145" spans="1:51" s="115" customFormat="1" ht="12.75" hidden="1" customHeight="1">
      <c r="A145" s="115" t="s">
        <v>45</v>
      </c>
      <c r="B145" s="115">
        <f>IF(B109=3,B129,0)</f>
        <v>0</v>
      </c>
      <c r="D145" s="168">
        <f>IF(D109=3,B129,0)</f>
        <v>0</v>
      </c>
      <c r="E145" s="115">
        <f>IF(E109=3,E129,0)</f>
        <v>0</v>
      </c>
      <c r="G145" s="168">
        <f>IF(G109=3,E129,0)</f>
        <v>39</v>
      </c>
      <c r="H145" s="115">
        <f>IF(H109=3,H129,0)</f>
        <v>0</v>
      </c>
      <c r="J145" s="168">
        <f>IF(J109=3,H129,0)</f>
        <v>37</v>
      </c>
      <c r="K145" s="115">
        <f>IF(K109=3,K129,0)</f>
        <v>0</v>
      </c>
      <c r="M145" s="168">
        <f>IF(M109=3,K129,0)</f>
        <v>0</v>
      </c>
      <c r="N145" s="115">
        <f>IF(N109=3,N129,0)</f>
        <v>0</v>
      </c>
      <c r="P145" s="168">
        <f>IF(P109=3,N129,0)</f>
        <v>0</v>
      </c>
      <c r="Q145" s="115">
        <f>IF(Q109=3,Q129,0)</f>
        <v>0</v>
      </c>
      <c r="S145" s="168">
        <f>IF(S109=3,Q129,0)</f>
        <v>0</v>
      </c>
      <c r="T145" s="115">
        <f>IF(T109=3,T129,0)</f>
        <v>0</v>
      </c>
      <c r="V145" s="168">
        <f>IF(V109=3,T129,0)</f>
        <v>0</v>
      </c>
      <c r="W145" s="115">
        <f>IF(W109=3,W129,0)</f>
        <v>0</v>
      </c>
      <c r="Y145" s="168">
        <f>IF(Y109=3,W129,0)</f>
        <v>0</v>
      </c>
      <c r="Z145" s="115">
        <f>IF(Z109=3,Z129,0)</f>
        <v>0</v>
      </c>
      <c r="AB145" s="168">
        <f>IF(AB109=3,Z129,0)</f>
        <v>0</v>
      </c>
      <c r="AC145" s="115">
        <f>IF(AC109=3,AC129,0)</f>
        <v>0</v>
      </c>
      <c r="AE145" s="168">
        <f>IF(AE109=3,AC129,0)</f>
        <v>0</v>
      </c>
      <c r="AF145" s="115">
        <f>SUM(B145:AE145)</f>
        <v>76</v>
      </c>
      <c r="AT145" s="513"/>
      <c r="AU145" s="513"/>
      <c r="AV145" s="513"/>
      <c r="AW145" s="514"/>
      <c r="AX145" s="513"/>
      <c r="AY145" s="513"/>
    </row>
    <row r="146" spans="1:51" s="115" customFormat="1" ht="12.75" hidden="1" customHeight="1">
      <c r="A146" s="115" t="s">
        <v>46</v>
      </c>
      <c r="B146" s="115">
        <f>IF(B109=4,B129,0)</f>
        <v>0</v>
      </c>
      <c r="D146" s="168">
        <f>IF(D109=4,B129,0)</f>
        <v>0</v>
      </c>
      <c r="E146" s="115">
        <f>IF(E109=4,E129,0)</f>
        <v>0</v>
      </c>
      <c r="G146" s="168">
        <f>IF(G109=4,E129,0)</f>
        <v>0</v>
      </c>
      <c r="H146" s="115">
        <f>IF(H109=4,H129,0)</f>
        <v>0</v>
      </c>
      <c r="J146" s="168">
        <f>IF(J109=4,H129,0)</f>
        <v>0</v>
      </c>
      <c r="K146" s="115">
        <f>IF(K109=4,K129,0)</f>
        <v>0</v>
      </c>
      <c r="M146" s="168">
        <f>IF(M109=4,K129,0)</f>
        <v>0</v>
      </c>
      <c r="N146" s="115">
        <f>IF(N109=4,N129,0)</f>
        <v>0</v>
      </c>
      <c r="P146" s="168">
        <f>IF(P109=4,N129,0)</f>
        <v>0</v>
      </c>
      <c r="Q146" s="115">
        <f>IF(Q109=4,Q129,0)</f>
        <v>0</v>
      </c>
      <c r="S146" s="168">
        <f>IF(S109=4,Q129,0)</f>
        <v>0</v>
      </c>
      <c r="T146" s="115">
        <f>IF(T109=4,T129,0)</f>
        <v>0</v>
      </c>
      <c r="V146" s="168">
        <f>IF(V109=4,T129,0)</f>
        <v>0</v>
      </c>
      <c r="W146" s="115">
        <f>IF(W109=4,W129,0)</f>
        <v>0</v>
      </c>
      <c r="Y146" s="168">
        <f>IF(Y109=4,W129,0)</f>
        <v>0</v>
      </c>
      <c r="Z146" s="115">
        <f>IF(Z109=4,Z129,0)</f>
        <v>0</v>
      </c>
      <c r="AB146" s="168">
        <f>IF(AB109=4,Z129,0)</f>
        <v>0</v>
      </c>
      <c r="AC146" s="115">
        <f>IF(AC109=4,AC129,0)</f>
        <v>0</v>
      </c>
      <c r="AE146" s="168">
        <f>IF(AE109=4,AC129,0)</f>
        <v>0</v>
      </c>
      <c r="AF146" s="115">
        <f>SUM(B146:AE146)</f>
        <v>0</v>
      </c>
      <c r="AT146" s="513"/>
      <c r="AU146" s="513"/>
      <c r="AV146" s="513"/>
      <c r="AW146" s="514"/>
      <c r="AX146" s="513"/>
      <c r="AY146" s="513"/>
    </row>
    <row r="147" spans="1:51" s="115" customFormat="1" ht="12.75" hidden="1" customHeight="1">
      <c r="A147" s="115" t="s">
        <v>47</v>
      </c>
      <c r="B147" s="115">
        <f>IF(B109=5,B129,0)</f>
        <v>0</v>
      </c>
      <c r="D147" s="168">
        <f>IF(D109=5,B129,0)</f>
        <v>0</v>
      </c>
      <c r="E147" s="115">
        <f>IF(E109=5,E129,0)</f>
        <v>0</v>
      </c>
      <c r="G147" s="168">
        <f>IF(G109=5,E129,0)</f>
        <v>0</v>
      </c>
      <c r="H147" s="115">
        <f>IF(H109=5,H129,0)</f>
        <v>0</v>
      </c>
      <c r="J147" s="168">
        <f>IF(J109=5,H129,0)</f>
        <v>0</v>
      </c>
      <c r="K147" s="115">
        <f>IF(K109=5,K129,0)</f>
        <v>0</v>
      </c>
      <c r="M147" s="168">
        <f>IF(M109=5,K129,0)</f>
        <v>0</v>
      </c>
      <c r="N147" s="115">
        <f>IF(N109=5,N129,0)</f>
        <v>0</v>
      </c>
      <c r="P147" s="168">
        <f>IF(P109=5,N129,0)</f>
        <v>0</v>
      </c>
      <c r="Q147" s="115">
        <f>IF(Q109=5,Q129,0)</f>
        <v>0</v>
      </c>
      <c r="S147" s="168">
        <f>IF(S109=5,Q129,0)</f>
        <v>0</v>
      </c>
      <c r="T147" s="115">
        <f>IF(T109=5,T129,0)</f>
        <v>0</v>
      </c>
      <c r="V147" s="168">
        <f>IF(V109=5,T129,0)</f>
        <v>0</v>
      </c>
      <c r="W147" s="115">
        <f>IF(W109=5,W129,0)</f>
        <v>0</v>
      </c>
      <c r="Y147" s="168">
        <f>IF(Y109=5,W129,0)</f>
        <v>0</v>
      </c>
      <c r="Z147" s="115">
        <f>IF(Z109=5,Z129,0)</f>
        <v>0</v>
      </c>
      <c r="AB147" s="168">
        <f>IF(AB109=5,Z129,0)</f>
        <v>0</v>
      </c>
      <c r="AC147" s="115">
        <f>IF(AC109=5,AC129,0)</f>
        <v>0</v>
      </c>
      <c r="AE147" s="168">
        <f>IF(AE109=5,AC129,0)</f>
        <v>0</v>
      </c>
      <c r="AF147" s="115">
        <f>SUM(B147:AE147)</f>
        <v>0</v>
      </c>
      <c r="AT147" s="513"/>
      <c r="AU147" s="513"/>
      <c r="AV147" s="513"/>
      <c r="AW147" s="514"/>
      <c r="AX147" s="513"/>
      <c r="AY147" s="513"/>
    </row>
    <row r="148" spans="1:51" s="115" customFormat="1" ht="38.25" hidden="1" customHeight="1">
      <c r="A148" s="115" t="s">
        <v>48</v>
      </c>
      <c r="D148" s="168"/>
      <c r="G148" s="168"/>
      <c r="J148" s="168"/>
      <c r="M148" s="168"/>
      <c r="P148" s="168"/>
      <c r="S148" s="168"/>
      <c r="V148" s="168"/>
      <c r="Y148" s="168"/>
      <c r="AB148" s="168"/>
      <c r="AE148" s="168"/>
      <c r="AF148" s="167" t="s">
        <v>219</v>
      </c>
      <c r="AG148" s="115" t="s">
        <v>220</v>
      </c>
      <c r="AT148" s="513"/>
      <c r="AU148" s="513"/>
      <c r="AV148" s="513"/>
      <c r="AW148" s="514"/>
      <c r="AX148" s="513"/>
      <c r="AY148" s="513"/>
    </row>
    <row r="149" spans="1:51" s="115" customFormat="1" ht="12.75" hidden="1" customHeight="1">
      <c r="A149" s="115" t="s">
        <v>38</v>
      </c>
      <c r="B149" s="115">
        <f>IF(B109=1,SUMIF(B116:B120,"&gt;0"),0)</f>
        <v>2</v>
      </c>
      <c r="D149" s="168">
        <f>IF(D109=1,SUMIF(D116:D120,"&gt;0"),0)</f>
        <v>0</v>
      </c>
      <c r="E149" s="115">
        <f>IF(E109=1,SUMIF(E116:E120,"&gt;0"),0)</f>
        <v>0</v>
      </c>
      <c r="G149" s="168">
        <f>IF(G109=1,SUMIF(G116:G120,"&gt;0"),0)</f>
        <v>0</v>
      </c>
      <c r="H149" s="115">
        <f>IF(H109=1,SUMIF(H116:H120,"&gt;0"),0)</f>
        <v>0</v>
      </c>
      <c r="J149" s="168">
        <f>IF(J109=1,SUMIF(J116:J120,"&gt;0"),0)</f>
        <v>0</v>
      </c>
      <c r="K149" s="115">
        <f>IF(K109=1,SUMIF(K116:K120,"&gt;0"),0)</f>
        <v>0</v>
      </c>
      <c r="M149" s="168">
        <f>IF(M109=1,SUMIF(M116:M120,"&gt;0"),0)</f>
        <v>0</v>
      </c>
      <c r="N149" s="115">
        <f>IF(N109=1,SUMIF(N116:N120,"&gt;0"),0)</f>
        <v>0</v>
      </c>
      <c r="P149" s="168">
        <f>IF(P109=1,SUMIF(P116:P120,"&gt;0"),0)</f>
        <v>0</v>
      </c>
      <c r="Q149" s="115">
        <f>IF(Q109=1,SUMIF(Q116:Q120,"&gt;0"),0)</f>
        <v>0</v>
      </c>
      <c r="S149" s="168">
        <f>IF(S109=1,SUMIF(S116:S120,"&gt;0"),0)</f>
        <v>0</v>
      </c>
      <c r="T149" s="115">
        <f>IF(T109=1,SUMIF(T116:T120,"&gt;0"),0)</f>
        <v>0</v>
      </c>
      <c r="V149" s="168">
        <f>IF(V109=1,SUMIF(V116:V120,"&gt;0"),0)</f>
        <v>0</v>
      </c>
      <c r="W149" s="115">
        <f>IF(W109=1,SUMIF(W116:W120,"&gt;0"),0)</f>
        <v>0</v>
      </c>
      <c r="Y149" s="168">
        <f>IF(Y109=1,SUMIF(Y116:Y120,"&gt;0"),0)</f>
        <v>0</v>
      </c>
      <c r="Z149" s="115">
        <f>IF(Z109=1,SUMIF(Z116:Z120,"&gt;0"),0)</f>
        <v>0</v>
      </c>
      <c r="AB149" s="168">
        <f>IF(AB109=1,SUMIF(AB116:AB120,"&gt;0"),0)</f>
        <v>0</v>
      </c>
      <c r="AC149" s="115">
        <f>IF(AC109=1,SUMIF(AC116:AC120,"&gt;0"),0)</f>
        <v>0</v>
      </c>
      <c r="AE149" s="168">
        <f>IF(AE109=1,SUMIF(AE116:AE120,"&gt;0"),0)</f>
        <v>0</v>
      </c>
      <c r="AF149" s="115">
        <f>SUM(B149:AE149)</f>
        <v>2</v>
      </c>
      <c r="AG149" s="115">
        <f>AF157-AF149</f>
        <v>2</v>
      </c>
      <c r="AT149" s="513"/>
      <c r="AU149" s="513"/>
      <c r="AV149" s="513"/>
      <c r="AW149" s="514"/>
      <c r="AX149" s="513"/>
      <c r="AY149" s="513"/>
    </row>
    <row r="150" spans="1:51" s="115" customFormat="1" ht="12.75" hidden="1" customHeight="1">
      <c r="A150" s="115" t="s">
        <v>39</v>
      </c>
      <c r="B150" s="115">
        <f>IF(B109=2,SUMIF(B116:B120,"&gt;0"),0)</f>
        <v>0</v>
      </c>
      <c r="D150" s="168">
        <f>IF(D109=2,SUMIF(D116:D120,"&gt;0"),0)</f>
        <v>0</v>
      </c>
      <c r="E150" s="115">
        <f>IF(E109=2,SUMIF(E116:E120,"&gt;0"),0)</f>
        <v>0</v>
      </c>
      <c r="G150" s="168">
        <f>IF(G109=2,SUMIF(G116:G120,"&gt;0"),0)</f>
        <v>0</v>
      </c>
      <c r="H150" s="115">
        <f>IF(H109=2,SUMIF(H116:H120,"&gt;0"),0)</f>
        <v>0</v>
      </c>
      <c r="J150" s="168">
        <f>IF(J109=2,SUMIF(J116:J120,"&gt;0"),0)</f>
        <v>0</v>
      </c>
      <c r="K150" s="115">
        <f>IF(K109=2,SUMIF(K116:K120,"&gt;0"),0)</f>
        <v>0</v>
      </c>
      <c r="M150" s="168">
        <f>IF(M109=2,SUMIF(M116:M120,"&gt;0"),0)</f>
        <v>0</v>
      </c>
      <c r="N150" s="115">
        <f>IF(N109=2,SUMIF(N116:N120,"&gt;0"),0)</f>
        <v>0</v>
      </c>
      <c r="P150" s="168">
        <f>IF(P109=2,SUMIF(P116:P120,"&gt;0"),0)</f>
        <v>0</v>
      </c>
      <c r="Q150" s="115">
        <f>IF(Q109=2,SUMIF(Q116:Q120,"&gt;0"),0)</f>
        <v>0</v>
      </c>
      <c r="S150" s="168">
        <f>IF(S109=2,SUMIF(S116:S120,"&gt;0"),0)</f>
        <v>0</v>
      </c>
      <c r="T150" s="115">
        <f>IF(T109=2,SUMIF(T116:T120,"&gt;0"),0)</f>
        <v>0</v>
      </c>
      <c r="V150" s="168">
        <f>IF(V109=2,SUMIF(V116:V120,"&gt;0"),0)</f>
        <v>0</v>
      </c>
      <c r="W150" s="115">
        <f>IF(W109=2,SUMIF(W116:W120,"&gt;0"),0)</f>
        <v>0</v>
      </c>
      <c r="Y150" s="168">
        <f>IF(Y109=2,SUMIF(Y116:Y120,"&gt;0"),0)</f>
        <v>0</v>
      </c>
      <c r="Z150" s="115">
        <f>IF(Z109=2,SUMIF(Z116:Z120,"&gt;0"),0)</f>
        <v>0</v>
      </c>
      <c r="AB150" s="168">
        <f>IF(AB109=2,SUMIF(AB116:AB120,"&gt;0"),0)</f>
        <v>0</v>
      </c>
      <c r="AC150" s="115">
        <f>IF(AC109=2,SUMIF(AC116:AC120,"&gt;0"),0)</f>
        <v>0</v>
      </c>
      <c r="AE150" s="168">
        <f>IF(AE109=2,SUMIF(AE116:AE120,"&gt;0"),0)</f>
        <v>0</v>
      </c>
      <c r="AF150" s="115">
        <f>SUM(B150:AE150)</f>
        <v>0</v>
      </c>
      <c r="AG150" s="115">
        <f>AF158-AF150</f>
        <v>4</v>
      </c>
      <c r="AT150" s="513"/>
      <c r="AU150" s="513"/>
      <c r="AV150" s="513"/>
      <c r="AW150" s="514"/>
      <c r="AX150" s="513"/>
      <c r="AY150" s="513"/>
    </row>
    <row r="151" spans="1:51" s="115" customFormat="1" ht="12.75" hidden="1" customHeight="1">
      <c r="A151" s="115" t="s">
        <v>40</v>
      </c>
      <c r="B151" s="115">
        <f>IF(B109=3,SUMIF(B116:B120,"&gt;0"),0)</f>
        <v>0</v>
      </c>
      <c r="D151" s="168">
        <f>IF(D109=3,SUMIF(D116:D120,"&gt;0"),0)</f>
        <v>0</v>
      </c>
      <c r="E151" s="115">
        <f>IF(E109=3,SUMIF(E116:E120,"&gt;0"),0)</f>
        <v>0</v>
      </c>
      <c r="G151" s="168">
        <f>IF(G109=3,SUMIF(G116:G120,"&gt;0"),0)</f>
        <v>2</v>
      </c>
      <c r="H151" s="115">
        <f>IF(H109=3,SUMIF(H116:H120,"&gt;0"),0)</f>
        <v>0</v>
      </c>
      <c r="J151" s="168">
        <f>IF(J109=3,SUMIF(J116:J120,"&gt;0"),0)</f>
        <v>2</v>
      </c>
      <c r="K151" s="115">
        <f>IF(K109=3,SUMIF(K116:K120,"&gt;0"),0)</f>
        <v>0</v>
      </c>
      <c r="M151" s="168">
        <f>IF(M109=3,SUMIF(M116:M120,"&gt;0"),0)</f>
        <v>0</v>
      </c>
      <c r="N151" s="115">
        <f>IF(N109=3,SUMIF(N116:N120,"&gt;0"),0)</f>
        <v>0</v>
      </c>
      <c r="P151" s="168">
        <f>IF(P109=3,SUMIF(P116:P120,"&gt;0"),0)</f>
        <v>0</v>
      </c>
      <c r="Q151" s="115">
        <f>IF(Q109=3,SUMIF(Q116:Q120,"&gt;0"),0)</f>
        <v>0</v>
      </c>
      <c r="S151" s="168">
        <f>IF(S109=3,SUMIF(S116:S120,"&gt;0"),0)</f>
        <v>0</v>
      </c>
      <c r="T151" s="115">
        <f>IF(T109=3,SUMIF(T116:T120,"&gt;0"),0)</f>
        <v>0</v>
      </c>
      <c r="V151" s="168">
        <f>IF(V109=3,SUMIF(V116:V120,"&gt;0"),0)</f>
        <v>0</v>
      </c>
      <c r="W151" s="115">
        <f>IF(W109=3,SUMIF(W116:W120,"&gt;0"),0)</f>
        <v>0</v>
      </c>
      <c r="Y151" s="168">
        <f>IF(Y109=3,SUMIF(Y116:Y120,"&gt;0"),0)</f>
        <v>0</v>
      </c>
      <c r="Z151" s="115">
        <f>IF(Z109=3,SUMIF(Z116:Z120,"&gt;0"),0)</f>
        <v>0</v>
      </c>
      <c r="AB151" s="168">
        <f>IF(AB109=3,SUMIF(AB116:AB120,"&gt;0"),0)</f>
        <v>0</v>
      </c>
      <c r="AC151" s="115">
        <f>IF(AC109=3,SUMIF(AC116:AC120,"&gt;0"),0)</f>
        <v>0</v>
      </c>
      <c r="AE151" s="168">
        <f>IF(AE109=3,SUMIF(AE116:AE120,"&gt;0"),0)</f>
        <v>0</v>
      </c>
      <c r="AF151" s="115">
        <f>SUM(B151:AE151)</f>
        <v>4</v>
      </c>
      <c r="AG151" s="115">
        <f>AF159-AF151</f>
        <v>0</v>
      </c>
      <c r="AT151" s="513"/>
      <c r="AU151" s="513"/>
      <c r="AV151" s="513"/>
      <c r="AW151" s="514"/>
      <c r="AX151" s="513"/>
      <c r="AY151" s="513"/>
    </row>
    <row r="152" spans="1:51" s="115" customFormat="1" ht="12.75" hidden="1" customHeight="1">
      <c r="A152" s="115" t="s">
        <v>41</v>
      </c>
      <c r="B152" s="115">
        <f>IF(B109=4,SUMIF(B116:B120,"&gt;0"),0)</f>
        <v>0</v>
      </c>
      <c r="D152" s="168">
        <f>IF(D109=4,SUMIF(D116:D120,"&gt;0"),0)</f>
        <v>0</v>
      </c>
      <c r="E152" s="115">
        <f>IF(E109=4,SUMIF(E116:E120,"&gt;0"),0)</f>
        <v>0</v>
      </c>
      <c r="G152" s="168">
        <f>IF(G109=4,SUMIF(G116:G120,"&gt;0"),0)</f>
        <v>0</v>
      </c>
      <c r="H152" s="115">
        <f>IF(H109=4,SUMIF(H116:H120,"&gt;0"),0)</f>
        <v>0</v>
      </c>
      <c r="J152" s="168">
        <f>IF(J109=4,SUMIF(J116:J120,"&gt;0"),0)</f>
        <v>0</v>
      </c>
      <c r="K152" s="115">
        <f>IF(K109=4,SUMIF(K116:K120,"&gt;0"),0)</f>
        <v>0</v>
      </c>
      <c r="M152" s="168">
        <f>IF(M109=4,SUMIF(M116:M120,"&gt;0"),0)</f>
        <v>0</v>
      </c>
      <c r="N152" s="115">
        <f>IF(N109=4,SUMIF(N116:N120,"&gt;0"),0)</f>
        <v>0</v>
      </c>
      <c r="P152" s="168">
        <f>IF(P109=4,SUMIF(P116:P120,"&gt;0"),0)</f>
        <v>0</v>
      </c>
      <c r="Q152" s="115">
        <f>IF(Q109=4,SUMIF(Q116:Q120,"&gt;0"),0)</f>
        <v>0</v>
      </c>
      <c r="S152" s="168">
        <f>IF(S109=4,SUMIF(S116:S120,"&gt;0"),0)</f>
        <v>0</v>
      </c>
      <c r="T152" s="115">
        <f>IF(T109=4,SUMIF(T116:T120,"&gt;0"),0)</f>
        <v>0</v>
      </c>
      <c r="V152" s="168">
        <f>IF(V109=4,SUMIF(V116:V120,"&gt;0"),0)</f>
        <v>0</v>
      </c>
      <c r="W152" s="115">
        <f>IF(W109=4,SUMIF(W116:W120,"&gt;0"),0)</f>
        <v>0</v>
      </c>
      <c r="Y152" s="168">
        <f>IF(Y109=4,SUMIF(Y116:Y120,"&gt;0"),0)</f>
        <v>0</v>
      </c>
      <c r="Z152" s="115">
        <f>IF(Z109=4,SUMIF(Z116:Z120,"&gt;0"),0)</f>
        <v>0</v>
      </c>
      <c r="AB152" s="168">
        <f>IF(AB109=4,SUMIF(AB116:AB120,"&gt;0"),0)</f>
        <v>0</v>
      </c>
      <c r="AC152" s="115">
        <f>IF(AC109=4,SUMIF(AC116:AC120,"&gt;0"),0)</f>
        <v>0</v>
      </c>
      <c r="AE152" s="168">
        <f>IF(AE109=4,SUMIF(AE116:AE120,"&gt;0"),0)</f>
        <v>0</v>
      </c>
      <c r="AF152" s="115">
        <f>SUM(B152:AE152)</f>
        <v>0</v>
      </c>
      <c r="AG152" s="115">
        <f>AF160-AF152</f>
        <v>0</v>
      </c>
      <c r="AT152" s="513"/>
      <c r="AU152" s="513"/>
      <c r="AV152" s="513"/>
      <c r="AW152" s="514"/>
      <c r="AX152" s="513"/>
      <c r="AY152" s="513"/>
    </row>
    <row r="153" spans="1:51" s="115" customFormat="1" ht="12.75" hidden="1" customHeight="1">
      <c r="A153" s="115" t="s">
        <v>42</v>
      </c>
      <c r="B153" s="115">
        <f>IF(B109=5,SUMIF(B116:B120,"&gt;0"),0)</f>
        <v>0</v>
      </c>
      <c r="D153" s="168">
        <f>IF(D109=5,SUMIF(D116:D120,"&gt;0"),0)</f>
        <v>0</v>
      </c>
      <c r="E153" s="115">
        <f>IF(E109=5,SUMIF(E116:E120,"&gt;0"),0)</f>
        <v>0</v>
      </c>
      <c r="G153" s="168">
        <f>IF(G109=5,SUMIF(G116:G120,"&gt;0"),0)</f>
        <v>0</v>
      </c>
      <c r="H153" s="115">
        <f>IF(H109=5,SUMIF(H116:H120,"&gt;0"),0)</f>
        <v>0</v>
      </c>
      <c r="J153" s="168">
        <f>IF(J109=5,SUMIF(J116:J120,"&gt;0"),0)</f>
        <v>0</v>
      </c>
      <c r="K153" s="115">
        <f>IF(K109=5,SUMIF(K116:K120,"&gt;0"),0)</f>
        <v>0</v>
      </c>
      <c r="M153" s="168">
        <f>IF(M109=5,SUMIF(M116:M120,"&gt;0"),0)</f>
        <v>0</v>
      </c>
      <c r="N153" s="115">
        <f>IF(N109=5,SUMIF(N116:N120,"&gt;0"),0)</f>
        <v>0</v>
      </c>
      <c r="P153" s="168">
        <f>IF(P109=5,SUMIF(P116:P120,"&gt;0"),0)</f>
        <v>0</v>
      </c>
      <c r="Q153" s="115">
        <f>IF(Q109=5,SUMIF(Q116:Q120,"&gt;0"),0)</f>
        <v>0</v>
      </c>
      <c r="S153" s="168">
        <f>IF(S109=5,SUMIF(S116:S120,"&gt;0"),0)</f>
        <v>0</v>
      </c>
      <c r="T153" s="115">
        <f>IF(T109=5,SUMIF(T116:T120,"&gt;0"),0)</f>
        <v>0</v>
      </c>
      <c r="V153" s="168">
        <f>IF(V109=5,SUMIF(V116:V120,"&gt;0"),0)</f>
        <v>0</v>
      </c>
      <c r="W153" s="115">
        <f>IF(W109=5,SUMIF(W116:W120,"&gt;0"),0)</f>
        <v>0</v>
      </c>
      <c r="Y153" s="168">
        <f>IF(Y109=5,SUMIF(Y116:Y120,"&gt;0"),0)</f>
        <v>0</v>
      </c>
      <c r="Z153" s="115">
        <f>IF(Z109=5,SUMIF(Z116:Z120,"&gt;0"),0)</f>
        <v>0</v>
      </c>
      <c r="AB153" s="168">
        <f>IF(AB109=5,SUMIF(AB116:AB120,"&gt;0"),0)</f>
        <v>0</v>
      </c>
      <c r="AC153" s="115">
        <f>IF(AC109=5,SUMIF(AC116:AC120,"&gt;0"),0)</f>
        <v>0</v>
      </c>
      <c r="AE153" s="168">
        <f>IF(AE109=5,SUMIF(AE116:AE120,"&gt;0"),0)</f>
        <v>0</v>
      </c>
      <c r="AF153" s="115">
        <f>SUM(B153:AE153)</f>
        <v>0</v>
      </c>
      <c r="AG153" s="115">
        <f>AF161-AF153</f>
        <v>0</v>
      </c>
      <c r="AT153" s="513"/>
      <c r="AU153" s="513"/>
      <c r="AV153" s="513"/>
      <c r="AW153" s="514"/>
      <c r="AX153" s="513"/>
      <c r="AY153" s="513"/>
    </row>
    <row r="154" spans="1:51" s="115" customFormat="1" ht="12.75" hidden="1" customHeight="1">
      <c r="D154" s="168"/>
      <c r="G154" s="168"/>
      <c r="J154" s="168"/>
      <c r="M154" s="168"/>
      <c r="P154" s="168"/>
      <c r="S154" s="168"/>
      <c r="V154" s="168"/>
      <c r="Y154" s="168"/>
      <c r="AB154" s="168"/>
      <c r="AE154" s="168"/>
      <c r="AT154" s="513"/>
      <c r="AU154" s="513"/>
      <c r="AV154" s="513"/>
      <c r="AW154" s="514"/>
      <c r="AX154" s="513"/>
      <c r="AY154" s="513"/>
    </row>
    <row r="155" spans="1:51" s="115" customFormat="1" ht="12.75" hidden="1" customHeight="1">
      <c r="D155" s="168"/>
      <c r="G155" s="168"/>
      <c r="J155" s="168"/>
      <c r="M155" s="168"/>
      <c r="P155" s="168"/>
      <c r="S155" s="168"/>
      <c r="V155" s="168"/>
      <c r="Y155" s="168"/>
      <c r="AB155" s="168"/>
      <c r="AE155" s="168"/>
      <c r="AT155" s="513"/>
      <c r="AU155" s="513"/>
      <c r="AV155" s="513"/>
      <c r="AW155" s="514"/>
      <c r="AX155" s="513"/>
      <c r="AY155" s="513"/>
    </row>
    <row r="156" spans="1:51" s="115" customFormat="1" ht="51" hidden="1" customHeight="1">
      <c r="A156" s="167" t="s">
        <v>221</v>
      </c>
      <c r="C156" s="115">
        <f>SUMIF(B149:D153,"&gt;0")</f>
        <v>2</v>
      </c>
      <c r="D156" s="168"/>
      <c r="F156" s="115">
        <f>SUMIF(E149:G153,"&gt;0")</f>
        <v>2</v>
      </c>
      <c r="G156" s="168"/>
      <c r="I156" s="115">
        <f>SUMIF(H149:J153,"&gt;0")</f>
        <v>2</v>
      </c>
      <c r="J156" s="168"/>
      <c r="L156" s="115">
        <f>SUMIF(K149:M153,"&gt;0")</f>
        <v>0</v>
      </c>
      <c r="M156" s="168"/>
      <c r="O156" s="115">
        <f>SUMIF(N149:P153,"&gt;0")</f>
        <v>0</v>
      </c>
      <c r="P156" s="168"/>
      <c r="R156" s="115">
        <f>SUMIF(Q149:S153,"&gt;0")</f>
        <v>0</v>
      </c>
      <c r="S156" s="168"/>
      <c r="U156" s="115">
        <f>SUMIF(T149:V153,"&gt;0")</f>
        <v>0</v>
      </c>
      <c r="V156" s="168"/>
      <c r="X156" s="115">
        <f>SUMIF(W149:Y153,"&gt;0")</f>
        <v>0</v>
      </c>
      <c r="Y156" s="168"/>
      <c r="AA156" s="115">
        <f>SUMIF(Z149:AB153,"&gt;0")</f>
        <v>0</v>
      </c>
      <c r="AB156" s="168"/>
      <c r="AD156" s="115">
        <f>SUMIF(AC149:AE153,"&gt;0")</f>
        <v>0</v>
      </c>
      <c r="AE156" s="168"/>
      <c r="AF156" s="167" t="s">
        <v>222</v>
      </c>
      <c r="AT156" s="513"/>
      <c r="AU156" s="513"/>
      <c r="AV156" s="513"/>
      <c r="AW156" s="514"/>
      <c r="AX156" s="513"/>
      <c r="AY156" s="513"/>
    </row>
    <row r="157" spans="1:51" s="115" customFormat="1" ht="12.75" hidden="1" customHeight="1">
      <c r="A157" s="115" t="s">
        <v>43</v>
      </c>
      <c r="B157" s="115">
        <f>IF(B109=1,C156,0)</f>
        <v>2</v>
      </c>
      <c r="D157" s="168">
        <f>IF(D109=1,C156,0)</f>
        <v>0</v>
      </c>
      <c r="E157" s="115">
        <f>IF(E109=1,F156,0)</f>
        <v>0</v>
      </c>
      <c r="G157" s="168">
        <f>IF(G109=1,F156,0)</f>
        <v>0</v>
      </c>
      <c r="H157" s="115">
        <f>IF(H109=1,I156,0)</f>
        <v>2</v>
      </c>
      <c r="J157" s="168">
        <f>IF(J109=1,I156,0)</f>
        <v>0</v>
      </c>
      <c r="K157" s="115">
        <f>IF(K109=1,L156,0)</f>
        <v>0</v>
      </c>
      <c r="M157" s="168">
        <f>IF(M109=1,L156,0)</f>
        <v>0</v>
      </c>
      <c r="N157" s="115">
        <f>IF(N109=1,O156,0)</f>
        <v>0</v>
      </c>
      <c r="P157" s="168">
        <f>IF(P109=1,O156,0)</f>
        <v>0</v>
      </c>
      <c r="Q157" s="115">
        <f>IF(Q109=1,R156,0)</f>
        <v>0</v>
      </c>
      <c r="S157" s="168">
        <f>IF(S109=1,R156,0)</f>
        <v>0</v>
      </c>
      <c r="T157" s="115">
        <f>IF(T109=1,U156,0)</f>
        <v>0</v>
      </c>
      <c r="V157" s="168">
        <f>IF(V109=1,U156,0)</f>
        <v>0</v>
      </c>
      <c r="W157" s="115">
        <f>IF(W109=1,X156,0)</f>
        <v>0</v>
      </c>
      <c r="Y157" s="168">
        <f>IF(Y109=1,X156,0)</f>
        <v>0</v>
      </c>
      <c r="Z157" s="115">
        <f>IF(Z109=1,AA156,0)</f>
        <v>0</v>
      </c>
      <c r="AB157" s="168">
        <f>IF(AB109=1,AA156,0)</f>
        <v>0</v>
      </c>
      <c r="AC157" s="115">
        <f>IF(AC109=1,AD156,0)</f>
        <v>0</v>
      </c>
      <c r="AE157" s="168">
        <f>IF(AE109=1,AD156,0)</f>
        <v>0</v>
      </c>
      <c r="AF157" s="115">
        <f>SUM(B157:AE157)</f>
        <v>4</v>
      </c>
      <c r="AT157" s="513"/>
      <c r="AU157" s="513"/>
      <c r="AV157" s="513"/>
      <c r="AW157" s="514"/>
      <c r="AX157" s="513"/>
      <c r="AY157" s="513"/>
    </row>
    <row r="158" spans="1:51" s="115" customFormat="1" ht="12.75" hidden="1" customHeight="1">
      <c r="A158" s="115" t="s">
        <v>44</v>
      </c>
      <c r="B158" s="115">
        <f>IF(B109=2,C156,0)</f>
        <v>0</v>
      </c>
      <c r="D158" s="168">
        <f>IF(D109=2,C156,0)</f>
        <v>2</v>
      </c>
      <c r="E158" s="115">
        <f>IF(E109=2,F156,0)</f>
        <v>2</v>
      </c>
      <c r="G158" s="168">
        <f>IF(G109=2,F156,0)</f>
        <v>0</v>
      </c>
      <c r="H158" s="115">
        <f>IF(H109=2,I156,0)</f>
        <v>0</v>
      </c>
      <c r="J158" s="168">
        <f>IF(J109=2,I156,0)</f>
        <v>0</v>
      </c>
      <c r="K158" s="115">
        <f>IF(K109=2,L156,0)</f>
        <v>0</v>
      </c>
      <c r="M158" s="168">
        <f>IF(M109=2,L156,0)</f>
        <v>0</v>
      </c>
      <c r="N158" s="115">
        <f>IF(N109=2,O156,0)</f>
        <v>0</v>
      </c>
      <c r="P158" s="168">
        <f>IF(P109=2,O156,0)</f>
        <v>0</v>
      </c>
      <c r="Q158" s="115">
        <f>IF(Q109=2,R156,0)</f>
        <v>0</v>
      </c>
      <c r="S158" s="168">
        <f>IF(S109=2,R156,0)</f>
        <v>0</v>
      </c>
      <c r="T158" s="115">
        <f>IF(T109=2,U156,0)</f>
        <v>0</v>
      </c>
      <c r="V158" s="168">
        <f>IF(V109=2,U156,0)</f>
        <v>0</v>
      </c>
      <c r="W158" s="115">
        <f>IF(W109=2,X156,0)</f>
        <v>0</v>
      </c>
      <c r="Y158" s="168">
        <f>IF(Y109=2,X156,0)</f>
        <v>0</v>
      </c>
      <c r="Z158" s="115">
        <f>IF(Z109=2,AA156,0)</f>
        <v>0</v>
      </c>
      <c r="AB158" s="168">
        <f>IF(AB109=2,AA156,0)</f>
        <v>0</v>
      </c>
      <c r="AC158" s="115">
        <f>IF(AC109=2,AD156,0)</f>
        <v>0</v>
      </c>
      <c r="AE158" s="168">
        <f>IF(AE109=2,AD156,0)</f>
        <v>0</v>
      </c>
      <c r="AF158" s="115">
        <f>SUM(B158:AE158)</f>
        <v>4</v>
      </c>
      <c r="AT158" s="513"/>
      <c r="AU158" s="513"/>
      <c r="AV158" s="513"/>
      <c r="AW158" s="514"/>
      <c r="AX158" s="513"/>
      <c r="AY158" s="513"/>
    </row>
    <row r="159" spans="1:51" s="115" customFormat="1" ht="12.75" hidden="1" customHeight="1">
      <c r="A159" s="115" t="s">
        <v>45</v>
      </c>
      <c r="B159" s="115">
        <f>IF(B109=3,C156,0)</f>
        <v>0</v>
      </c>
      <c r="D159" s="168">
        <f>IF(D109=3,C156,0)</f>
        <v>0</v>
      </c>
      <c r="E159" s="115">
        <f>IF(E109=3,F156,0)</f>
        <v>0</v>
      </c>
      <c r="G159" s="168">
        <f>IF(G109=3,F156,0)</f>
        <v>2</v>
      </c>
      <c r="H159" s="115">
        <f>IF(H109=3,I156,0)</f>
        <v>0</v>
      </c>
      <c r="J159" s="168">
        <f>IF(J109=3,I156,0)</f>
        <v>2</v>
      </c>
      <c r="K159" s="115">
        <f>IF(K109=3,L156,0)</f>
        <v>0</v>
      </c>
      <c r="M159" s="168">
        <f>IF(M109=3,L156,0)</f>
        <v>0</v>
      </c>
      <c r="N159" s="115">
        <f>IF(N109=3,O156,0)</f>
        <v>0</v>
      </c>
      <c r="P159" s="168">
        <f>IF(P109=3,O156,0)</f>
        <v>0</v>
      </c>
      <c r="Q159" s="115">
        <f>IF(Q109=3,R156,0)</f>
        <v>0</v>
      </c>
      <c r="S159" s="168">
        <f>IF(S109=3,R156,0)</f>
        <v>0</v>
      </c>
      <c r="T159" s="115">
        <f>IF(T109=3,U156,0)</f>
        <v>0</v>
      </c>
      <c r="V159" s="168">
        <f>IF(V109=3,U156,0)</f>
        <v>0</v>
      </c>
      <c r="W159" s="115">
        <f>IF(W109=3,X156,0)</f>
        <v>0</v>
      </c>
      <c r="Y159" s="168">
        <f>IF(Y109=3,X156,0)</f>
        <v>0</v>
      </c>
      <c r="Z159" s="115">
        <f>IF(Z109=3,AA156,0)</f>
        <v>0</v>
      </c>
      <c r="AB159" s="168">
        <f>IF(AB109=3,AA156,0)</f>
        <v>0</v>
      </c>
      <c r="AC159" s="115">
        <f>IF(AC109=3,AD156,0)</f>
        <v>0</v>
      </c>
      <c r="AE159" s="168">
        <f>IF(AE109=3,AD156,0)</f>
        <v>0</v>
      </c>
      <c r="AF159" s="115">
        <f>SUM(B159:AE159)</f>
        <v>4</v>
      </c>
      <c r="AT159" s="513"/>
      <c r="AU159" s="513"/>
      <c r="AV159" s="513"/>
      <c r="AW159" s="514"/>
      <c r="AX159" s="513"/>
      <c r="AY159" s="513"/>
    </row>
    <row r="160" spans="1:51" s="115" customFormat="1" ht="12.75" hidden="1" customHeight="1">
      <c r="A160" s="115" t="s">
        <v>46</v>
      </c>
      <c r="B160" s="115">
        <f>IF(B109=4,C156,0)</f>
        <v>0</v>
      </c>
      <c r="D160" s="168">
        <f>IF(D109=4,C156,0)</f>
        <v>0</v>
      </c>
      <c r="E160" s="115">
        <f>IF(E109=4,F156,0)</f>
        <v>0</v>
      </c>
      <c r="G160" s="168">
        <f>IF(G109=4,F156,0)</f>
        <v>0</v>
      </c>
      <c r="H160" s="115">
        <f>IF(H109=4,I156,0)</f>
        <v>0</v>
      </c>
      <c r="J160" s="168">
        <f>IF(J109=4,I156,0)</f>
        <v>0</v>
      </c>
      <c r="K160" s="115">
        <f>IF(K109=4,L156,0)</f>
        <v>0</v>
      </c>
      <c r="M160" s="168">
        <f>IF(M109=4,L156,0)</f>
        <v>0</v>
      </c>
      <c r="N160" s="115">
        <f>IF(N109=4,O156,0)</f>
        <v>0</v>
      </c>
      <c r="P160" s="168">
        <f>IF(P109=4,O156,0)</f>
        <v>0</v>
      </c>
      <c r="Q160" s="115">
        <f>IF(Q109=4,R156,0)</f>
        <v>0</v>
      </c>
      <c r="S160" s="168">
        <f>IF(S109=4,R156,0)</f>
        <v>0</v>
      </c>
      <c r="T160" s="115">
        <f>IF(T109=4,U156,0)</f>
        <v>0</v>
      </c>
      <c r="V160" s="168">
        <f>IF(V109=4,U156,0)</f>
        <v>0</v>
      </c>
      <c r="W160" s="115">
        <f>IF(W109=4,X156,0)</f>
        <v>0</v>
      </c>
      <c r="Y160" s="168">
        <f>IF(Y109=4,X156,0)</f>
        <v>0</v>
      </c>
      <c r="Z160" s="115">
        <f>IF(Z109=4,AA156,0)</f>
        <v>0</v>
      </c>
      <c r="AB160" s="168">
        <f>IF(AB109=4,AA156,0)</f>
        <v>0</v>
      </c>
      <c r="AC160" s="115">
        <f>IF(AC109=4,AD156,0)</f>
        <v>0</v>
      </c>
      <c r="AE160" s="168">
        <f>IF(AE109=4,AD156,0)</f>
        <v>0</v>
      </c>
      <c r="AF160" s="115">
        <f>SUM(B160:AE160)</f>
        <v>0</v>
      </c>
      <c r="AT160" s="513"/>
      <c r="AU160" s="513"/>
      <c r="AV160" s="513"/>
      <c r="AW160" s="514"/>
      <c r="AX160" s="513"/>
      <c r="AY160" s="513"/>
    </row>
    <row r="161" spans="1:54" s="115" customFormat="1" ht="12.75" hidden="1" customHeight="1">
      <c r="A161" s="115" t="s">
        <v>47</v>
      </c>
      <c r="B161" s="115">
        <f>IF(B109=5,C156,0)</f>
        <v>0</v>
      </c>
      <c r="D161" s="168">
        <f>IF(D109=5,C156,0)</f>
        <v>0</v>
      </c>
      <c r="E161" s="115">
        <f>IF(E109=5,F156,0)</f>
        <v>0</v>
      </c>
      <c r="G161" s="168">
        <f>IF(G109=5,F156,0)</f>
        <v>0</v>
      </c>
      <c r="H161" s="115">
        <f>IF(H109=5,I156,0)</f>
        <v>0</v>
      </c>
      <c r="J161" s="168">
        <f>IF(J109=5,I156,0)</f>
        <v>0</v>
      </c>
      <c r="K161" s="115">
        <f>IF(K109=5,L156,0)</f>
        <v>0</v>
      </c>
      <c r="M161" s="168">
        <f>IF(M109=5,L156,0)</f>
        <v>0</v>
      </c>
      <c r="N161" s="115">
        <f>IF(N109=5,O156,0)</f>
        <v>0</v>
      </c>
      <c r="P161" s="168">
        <f>IF(P109=5,O156,0)</f>
        <v>0</v>
      </c>
      <c r="Q161" s="115">
        <f>IF(Q109=5,R156,0)</f>
        <v>0</v>
      </c>
      <c r="S161" s="168">
        <f>IF(S109=5,R156,0)</f>
        <v>0</v>
      </c>
      <c r="T161" s="115">
        <f>IF(T109=5,U156,0)</f>
        <v>0</v>
      </c>
      <c r="V161" s="168">
        <f>IF(V109=5,U156,0)</f>
        <v>0</v>
      </c>
      <c r="W161" s="115">
        <f>IF(W109=5,X156,0)</f>
        <v>0</v>
      </c>
      <c r="Y161" s="168">
        <f>IF(Y109=5,X156,0)</f>
        <v>0</v>
      </c>
      <c r="Z161" s="115">
        <f>IF(Z109=5,AA156,0)</f>
        <v>0</v>
      </c>
      <c r="AB161" s="168">
        <f>IF(AB109=5,AA156,0)</f>
        <v>0</v>
      </c>
      <c r="AC161" s="115">
        <f>IF(AC109=5,AD156,0)</f>
        <v>0</v>
      </c>
      <c r="AE161" s="168">
        <f>IF(AE109=5,AD156,0)</f>
        <v>0</v>
      </c>
      <c r="AF161" s="115">
        <f>SUM(B161:AE161)</f>
        <v>0</v>
      </c>
      <c r="AT161" s="513"/>
      <c r="AU161" s="513"/>
      <c r="AV161" s="513"/>
      <c r="AW161" s="514"/>
      <c r="AX161" s="513"/>
      <c r="AY161" s="513"/>
    </row>
    <row r="162" spans="1:54" hidden="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c r="W162" s="118"/>
      <c r="X162" s="118"/>
      <c r="Y162" s="118"/>
      <c r="Z162" s="118"/>
      <c r="AA162" s="118"/>
      <c r="AB162" s="118"/>
      <c r="AC162" s="118"/>
      <c r="AD162" s="118"/>
      <c r="AE162" s="118"/>
      <c r="AF162" s="118"/>
      <c r="AG162" s="118"/>
      <c r="AH162" s="118"/>
      <c r="AI162" s="118"/>
      <c r="AJ162" s="118"/>
      <c r="AK162" s="118"/>
      <c r="AL162" s="118"/>
      <c r="AM162" s="118"/>
      <c r="AN162" s="119"/>
      <c r="AO162" s="119"/>
      <c r="AP162" s="119"/>
      <c r="AQ162" s="119"/>
      <c r="AR162" s="117"/>
      <c r="AS162" s="117"/>
      <c r="AT162" s="513"/>
      <c r="AU162" s="513"/>
      <c r="AV162" s="513"/>
      <c r="BB162" s="39"/>
    </row>
    <row r="163" spans="1:54" s="117" customFormat="1" hidden="1">
      <c r="A163" s="34"/>
      <c r="B163" s="34"/>
      <c r="C163" s="34" t="s">
        <v>223</v>
      </c>
      <c r="D163" s="34">
        <v>1</v>
      </c>
      <c r="E163" s="34"/>
      <c r="F163" s="34"/>
      <c r="G163" s="34">
        <v>2</v>
      </c>
      <c r="H163" s="34"/>
      <c r="I163" s="34"/>
      <c r="J163" s="34">
        <v>3</v>
      </c>
      <c r="K163" s="34"/>
      <c r="L163" s="34"/>
      <c r="M163" s="34">
        <v>4</v>
      </c>
      <c r="N163" s="34"/>
      <c r="O163" s="34"/>
      <c r="P163" s="34">
        <v>5</v>
      </c>
      <c r="Q163" s="34"/>
      <c r="R163" s="34"/>
      <c r="S163" s="34">
        <v>6</v>
      </c>
      <c r="T163" s="34"/>
      <c r="U163" s="34"/>
      <c r="V163" s="34">
        <v>7</v>
      </c>
      <c r="W163" s="34"/>
      <c r="X163" s="34"/>
      <c r="Y163" s="34">
        <v>8</v>
      </c>
      <c r="Z163" s="34"/>
      <c r="AA163" s="34"/>
      <c r="AB163" s="34">
        <v>9</v>
      </c>
      <c r="AC163" s="34"/>
      <c r="AD163" s="34"/>
      <c r="AE163" s="34">
        <v>10</v>
      </c>
      <c r="AF163" s="3"/>
      <c r="AG163" s="34"/>
      <c r="AI163" s="169"/>
      <c r="AJ163" s="3"/>
      <c r="AK163" s="3"/>
      <c r="AL163" s="3"/>
      <c r="AM163" s="3"/>
      <c r="AN163" s="3"/>
      <c r="AO163" s="3"/>
      <c r="AT163" s="515" t="s">
        <v>224</v>
      </c>
      <c r="AU163" s="513"/>
      <c r="AV163" s="513"/>
      <c r="AW163" s="514"/>
      <c r="AX163" s="513"/>
      <c r="AY163" s="513"/>
      <c r="BB163" s="170"/>
    </row>
    <row r="164" spans="1:54" s="117" customFormat="1" hidden="1">
      <c r="A164" s="171">
        <v>1</v>
      </c>
      <c r="B164" s="171" t="str">
        <f>E93</f>
        <v>SC Midlands KP Boys</v>
      </c>
      <c r="C164" s="171">
        <f>VLOOKUP(B164,AU$3:BB$33,3,FALSE)</f>
        <v>1263.649221203714</v>
      </c>
      <c r="D164" s="171">
        <f>IF(B157,B172,IF(D157,D172,C164))</f>
        <v>1275.8964316921292</v>
      </c>
      <c r="E164" s="171"/>
      <c r="F164" s="171"/>
      <c r="G164" s="171">
        <f>IF(E157,E172,IF(G157,G172,D164))</f>
        <v>1275.8964316921292</v>
      </c>
      <c r="H164" s="171"/>
      <c r="I164" s="171"/>
      <c r="J164" s="171">
        <f>IF(H157,H172,IF(J157,J172,G164))</f>
        <v>1264.5083262633123</v>
      </c>
      <c r="K164" s="171"/>
      <c r="L164" s="171"/>
      <c r="M164" s="171">
        <f>IF(K157,K172,IF(M157,M172,J164))</f>
        <v>1264.5083262633123</v>
      </c>
      <c r="N164" s="171"/>
      <c r="O164" s="171"/>
      <c r="P164" s="171">
        <f>IF(N157,N172,IF(P157,P172,M164))</f>
        <v>1264.5083262633123</v>
      </c>
      <c r="Q164" s="171"/>
      <c r="R164" s="171"/>
      <c r="S164" s="171">
        <f>IF(Q157,Q172,IF(S157,S172,P164))</f>
        <v>1264.5083262633123</v>
      </c>
      <c r="T164" s="171"/>
      <c r="U164" s="171"/>
      <c r="V164" s="171">
        <f>IF(T157,T172,IF(V157,V172,S164))</f>
        <v>1264.5083262633123</v>
      </c>
      <c r="W164" s="171"/>
      <c r="X164" s="171"/>
      <c r="Y164" s="171">
        <f>IF(W157,W172,IF(Y157,Y172,V164))</f>
        <v>1264.5083262633123</v>
      </c>
      <c r="Z164" s="171"/>
      <c r="AA164" s="171"/>
      <c r="AB164" s="171">
        <f>IF(Z157,Z172,IF(AB157,AB172,Y164))</f>
        <v>1264.5083262633123</v>
      </c>
      <c r="AC164" s="171"/>
      <c r="AD164" s="171"/>
      <c r="AE164" s="171">
        <f>IF(AC157,AC172,IF(AE157,AE172,AB164))</f>
        <v>1264.5083262633123</v>
      </c>
      <c r="AF164" s="3"/>
      <c r="AG164" s="3"/>
      <c r="AJ164" s="3"/>
      <c r="AK164" s="3"/>
      <c r="AL164" s="3"/>
      <c r="AM164" s="3"/>
      <c r="AN164" s="3"/>
      <c r="AO164" s="3"/>
      <c r="AT164" s="513" t="str">
        <f>B164</f>
        <v>SC Midlands KP Boys</v>
      </c>
      <c r="AU164" s="513">
        <f>AE164</f>
        <v>1264.5083262633123</v>
      </c>
      <c r="AV164" s="513"/>
      <c r="AW164" s="514"/>
      <c r="AX164" s="513"/>
      <c r="AY164" s="513"/>
      <c r="BB164" s="170"/>
    </row>
    <row r="165" spans="1:54" s="117" customFormat="1" hidden="1">
      <c r="A165" s="171">
        <v>2</v>
      </c>
      <c r="B165" s="171" t="str">
        <f>E95</f>
        <v>Excell U12 Devel</v>
      </c>
      <c r="C165" s="171">
        <f>VLOOKUP(B165,AU$3:BB$33,3,FALSE)</f>
        <v>1180.6127196485652</v>
      </c>
      <c r="D165" s="171">
        <f>IF(B158,B172,IF(D158,D172,C165))</f>
        <v>1168.3655091601499</v>
      </c>
      <c r="E165" s="171"/>
      <c r="F165" s="171"/>
      <c r="G165" s="171">
        <f>IF(E158,E172,IF(G158,G172,D165))</f>
        <v>1160.7781668554978</v>
      </c>
      <c r="H165" s="171"/>
      <c r="I165" s="171"/>
      <c r="J165" s="171">
        <f>IF(H158,H172,IF(J158,J172,G165))</f>
        <v>1160.7781668554978</v>
      </c>
      <c r="K165" s="171"/>
      <c r="L165" s="171"/>
      <c r="M165" s="171">
        <f>IF(K158,K172,IF(M158,M172,J165))</f>
        <v>1160.7781668554978</v>
      </c>
      <c r="N165" s="171"/>
      <c r="O165" s="171"/>
      <c r="P165" s="171">
        <f>IF(N158,N172,IF(P158,P172,M165))</f>
        <v>1160.7781668554978</v>
      </c>
      <c r="Q165" s="171"/>
      <c r="R165" s="171"/>
      <c r="S165" s="171">
        <f>IF(Q158,Q172,IF(S158,S172,P165))</f>
        <v>1160.7781668554978</v>
      </c>
      <c r="T165" s="171"/>
      <c r="U165" s="171"/>
      <c r="V165" s="171">
        <f>IF(T158,T172,IF(V158,V172,S165))</f>
        <v>1160.7781668554978</v>
      </c>
      <c r="W165" s="171"/>
      <c r="X165" s="171"/>
      <c r="Y165" s="171">
        <f>IF(W158,W172,IF(Y158,Y172,V165))</f>
        <v>1160.7781668554978</v>
      </c>
      <c r="Z165" s="171"/>
      <c r="AA165" s="171"/>
      <c r="AB165" s="171">
        <f>IF(Z158,Z172,IF(AB158,AB172,Y165))</f>
        <v>1160.7781668554978</v>
      </c>
      <c r="AC165" s="171"/>
      <c r="AD165" s="171"/>
      <c r="AE165" s="171">
        <f>IF(AC158,AC172,IF(AE158,AE172,AB165))</f>
        <v>1160.7781668554978</v>
      </c>
      <c r="AF165" s="3"/>
      <c r="AG165" s="3"/>
      <c r="AJ165" s="3"/>
      <c r="AL165" s="3"/>
      <c r="AM165" s="3"/>
      <c r="AN165" s="3"/>
      <c r="AO165" s="3"/>
      <c r="AT165" s="513" t="str">
        <f>B165</f>
        <v>Excell U12 Devel</v>
      </c>
      <c r="AU165" s="513">
        <f>AE165</f>
        <v>1160.7781668554978</v>
      </c>
      <c r="AV165" s="513"/>
      <c r="AW165" s="514"/>
      <c r="AX165" s="513"/>
      <c r="AY165" s="513"/>
      <c r="BB165" s="170"/>
    </row>
    <row r="166" spans="1:54" s="117" customFormat="1" hidden="1">
      <c r="A166" s="171">
        <v>3</v>
      </c>
      <c r="B166" s="171" t="str">
        <f>E97</f>
        <v>USA 12 Blue</v>
      </c>
      <c r="C166" s="171">
        <f>VLOOKUP(B166,AU$3:BB$33,3,FALSE)</f>
        <v>1371.375662705266</v>
      </c>
      <c r="D166" s="171">
        <f>IF(B159,B172,IF(D159,D172,C166))</f>
        <v>1371.375662705266</v>
      </c>
      <c r="E166" s="171"/>
      <c r="F166" s="171"/>
      <c r="G166" s="171">
        <f>IF(E159,E172,IF(G159,G172,D166))</f>
        <v>1378.9630050099181</v>
      </c>
      <c r="H166" s="171"/>
      <c r="I166" s="171"/>
      <c r="J166" s="171">
        <f>IF(H159,H172,IF(J159,J172,G166))</f>
        <v>1390.3511104387351</v>
      </c>
      <c r="K166" s="171"/>
      <c r="L166" s="171"/>
      <c r="M166" s="171">
        <f>IF(K159,K172,IF(M159,M172,J166))</f>
        <v>1390.3511104387351</v>
      </c>
      <c r="N166" s="171"/>
      <c r="O166" s="171"/>
      <c r="P166" s="171">
        <f>IF(N159,N172,IF(P159,P172,M166))</f>
        <v>1390.3511104387351</v>
      </c>
      <c r="Q166" s="171"/>
      <c r="R166" s="171"/>
      <c r="S166" s="171">
        <f>IF(Q159,Q172,IF(S159,S172,P166))</f>
        <v>1390.3511104387351</v>
      </c>
      <c r="T166" s="171"/>
      <c r="U166" s="171"/>
      <c r="V166" s="171">
        <f>IF(T159,T172,IF(V159,V172,S166))</f>
        <v>1390.3511104387351</v>
      </c>
      <c r="W166" s="171"/>
      <c r="X166" s="171"/>
      <c r="Y166" s="171">
        <f>IF(W159,W172,IF(Y159,Y172,V166))</f>
        <v>1390.3511104387351</v>
      </c>
      <c r="Z166" s="171"/>
      <c r="AA166" s="171"/>
      <c r="AB166" s="171">
        <f>IF(Z159,Z172,IF(AB159,AB172,Y166))</f>
        <v>1390.3511104387351</v>
      </c>
      <c r="AC166" s="171"/>
      <c r="AD166" s="171"/>
      <c r="AE166" s="171">
        <f>IF(AC159,AC172,IF(AE159,AE172,AB166))</f>
        <v>1390.3511104387351</v>
      </c>
      <c r="AF166" s="3"/>
      <c r="AG166" s="3"/>
      <c r="AJ166" s="3"/>
      <c r="AL166" s="3"/>
      <c r="AM166" s="3"/>
      <c r="AN166" s="3"/>
      <c r="AO166" s="3"/>
      <c r="AT166" s="513" t="str">
        <f>B166</f>
        <v>USA 12 Blue</v>
      </c>
      <c r="AU166" s="513">
        <f>AE166</f>
        <v>1390.3511104387351</v>
      </c>
      <c r="AV166" s="513"/>
      <c r="AW166" s="514"/>
      <c r="AX166" s="513"/>
      <c r="AY166" s="513"/>
      <c r="BB166" s="170"/>
    </row>
    <row r="167" spans="1:54" s="117" customFormat="1" hidden="1">
      <c r="A167" s="171">
        <v>4</v>
      </c>
      <c r="B167" s="171" t="str">
        <f>E99</f>
        <v>Team 11</v>
      </c>
      <c r="C167" s="171">
        <f>VLOOKUP(B167,AU$3:BB$33,3,FALSE)</f>
        <v>2011</v>
      </c>
      <c r="D167" s="171">
        <f>IF(B160,B172,IF(D160,D172,C167))</f>
        <v>2011</v>
      </c>
      <c r="E167" s="171"/>
      <c r="F167" s="171"/>
      <c r="G167" s="171">
        <f>IF(E160,E172,IF(G160,G172,D167))</f>
        <v>2011</v>
      </c>
      <c r="H167" s="171"/>
      <c r="I167" s="171"/>
      <c r="J167" s="171">
        <f>IF(H160,H172,IF(J160,J172,G167))</f>
        <v>2011</v>
      </c>
      <c r="K167" s="171"/>
      <c r="L167" s="171"/>
      <c r="M167" s="171">
        <f>IF(K160,K172,IF(M160,M172,J167))</f>
        <v>2011</v>
      </c>
      <c r="N167" s="171"/>
      <c r="O167" s="171"/>
      <c r="P167" s="171">
        <f>IF(N160,N172,IF(P160,P172,M167))</f>
        <v>2011</v>
      </c>
      <c r="Q167" s="171"/>
      <c r="R167" s="171"/>
      <c r="S167" s="171">
        <f>IF(Q160,Q172,IF(S160,S172,P167))</f>
        <v>2011</v>
      </c>
      <c r="T167" s="171"/>
      <c r="U167" s="171"/>
      <c r="V167" s="171">
        <f>IF(T160,T172,IF(V160,V172,S167))</f>
        <v>2011</v>
      </c>
      <c r="W167" s="171"/>
      <c r="X167" s="171"/>
      <c r="Y167" s="171">
        <f>IF(W160,W172,IF(Y160,Y172,V167))</f>
        <v>2011</v>
      </c>
      <c r="Z167" s="171"/>
      <c r="AA167" s="171"/>
      <c r="AB167" s="171">
        <f>IF(Z160,Z172,IF(AB160,AB172,Y167))</f>
        <v>2011</v>
      </c>
      <c r="AC167" s="171"/>
      <c r="AD167" s="171"/>
      <c r="AE167" s="171">
        <f>IF(AC160,AC172,IF(AE160,AE172,AB167))</f>
        <v>2011</v>
      </c>
      <c r="AF167" s="3"/>
      <c r="AG167" s="3"/>
      <c r="AJ167" s="3"/>
      <c r="AL167" s="3"/>
      <c r="AM167" s="3"/>
      <c r="AN167" s="3"/>
      <c r="AO167" s="3"/>
      <c r="AT167" s="513" t="str">
        <f>B167</f>
        <v>Team 11</v>
      </c>
      <c r="AU167" s="513">
        <f>AE167</f>
        <v>2011</v>
      </c>
      <c r="AV167" s="513"/>
      <c r="AW167" s="514"/>
      <c r="AX167" s="513"/>
      <c r="AY167" s="513"/>
      <c r="BB167" s="170"/>
    </row>
    <row r="168" spans="1:54" s="117" customFormat="1" hidden="1">
      <c r="A168" s="171">
        <v>5</v>
      </c>
      <c r="B168" s="171">
        <f>E101</f>
        <v>0</v>
      </c>
      <c r="C168" s="171" t="e">
        <f>VLOOKUP(B168,AU$3:BB$33,3,FALSE)</f>
        <v>#N/A</v>
      </c>
      <c r="D168" s="171" t="e">
        <f>IF(B161,B172,IF(D161,D172,C168))</f>
        <v>#N/A</v>
      </c>
      <c r="E168" s="171"/>
      <c r="F168" s="171"/>
      <c r="G168" s="171" t="e">
        <f>IF(E161,E172,IF(G161,G172,D168))</f>
        <v>#N/A</v>
      </c>
      <c r="H168" s="171"/>
      <c r="I168" s="171"/>
      <c r="J168" s="171" t="e">
        <f>IF(H161,H172,IF(J161,J172,G168))</f>
        <v>#N/A</v>
      </c>
      <c r="K168" s="171"/>
      <c r="L168" s="171"/>
      <c r="M168" s="171" t="e">
        <f>IF(K161,K172,IF(M161,M172,J168))</f>
        <v>#N/A</v>
      </c>
      <c r="N168" s="171"/>
      <c r="O168" s="171"/>
      <c r="P168" s="171" t="e">
        <f>IF(N161,N172,IF(P161,P172,M168))</f>
        <v>#N/A</v>
      </c>
      <c r="Q168" s="171"/>
      <c r="R168" s="171"/>
      <c r="S168" s="171" t="e">
        <f>IF(Q161,Q172,IF(S161,S172,P168))</f>
        <v>#N/A</v>
      </c>
      <c r="T168" s="171"/>
      <c r="U168" s="171"/>
      <c r="V168" s="171" t="e">
        <f>IF(T161,T172,IF(V161,V172,S168))</f>
        <v>#N/A</v>
      </c>
      <c r="W168" s="171"/>
      <c r="X168" s="171"/>
      <c r="Y168" s="171" t="e">
        <f>IF(W161,W172,IF(Y161,Y172,V168))</f>
        <v>#N/A</v>
      </c>
      <c r="Z168" s="171"/>
      <c r="AA168" s="171"/>
      <c r="AB168" s="171" t="e">
        <f>IF(Z161,Z172,IF(AB161,AB172,Y168))</f>
        <v>#N/A</v>
      </c>
      <c r="AC168" s="171"/>
      <c r="AD168" s="171"/>
      <c r="AE168" s="171" t="e">
        <f>IF(AC161,AC172,IF(AE161,AE172,AB168))</f>
        <v>#N/A</v>
      </c>
      <c r="AF168" s="3"/>
      <c r="AG168" s="3"/>
      <c r="AJ168" s="3"/>
      <c r="AL168" s="3"/>
      <c r="AM168" s="3"/>
      <c r="AN168" s="3"/>
      <c r="AO168" s="3"/>
      <c r="AT168" s="513">
        <f>B168</f>
        <v>0</v>
      </c>
      <c r="AU168" s="513" t="e">
        <f>AE168</f>
        <v>#N/A</v>
      </c>
      <c r="AV168" s="513"/>
      <c r="AW168" s="514"/>
      <c r="AX168" s="513"/>
      <c r="AY168" s="513"/>
      <c r="BB168" s="170"/>
    </row>
    <row r="169" spans="1:54" s="117" customFormat="1" hidden="1">
      <c r="A169" s="171"/>
      <c r="B169" s="171"/>
      <c r="C169" s="171"/>
      <c r="D169" s="171"/>
      <c r="E169" s="171"/>
      <c r="F169" s="171"/>
      <c r="G169" s="171"/>
      <c r="H169" s="171"/>
      <c r="I169" s="171"/>
      <c r="J169" s="171"/>
      <c r="K169" s="171"/>
      <c r="L169" s="171"/>
      <c r="M169" s="171"/>
      <c r="N169" s="171"/>
      <c r="O169" s="171"/>
      <c r="P169" s="171"/>
      <c r="Q169" s="171"/>
      <c r="R169" s="171"/>
      <c r="S169" s="171"/>
      <c r="T169" s="171"/>
      <c r="U169" s="171"/>
      <c r="V169" s="171"/>
      <c r="W169" s="171"/>
      <c r="X169" s="171"/>
      <c r="Y169" s="171"/>
      <c r="Z169" s="171"/>
      <c r="AA169" s="171"/>
      <c r="AB169" s="171"/>
      <c r="AC169" s="171"/>
      <c r="AD169" s="171"/>
      <c r="AE169" s="171"/>
      <c r="AF169" s="3"/>
      <c r="AG169" s="3"/>
      <c r="AJ169" s="3"/>
      <c r="AL169" s="3"/>
      <c r="AM169" s="3"/>
      <c r="AN169" s="3"/>
      <c r="AO169" s="3"/>
      <c r="AT169" s="513"/>
      <c r="AU169" s="513"/>
      <c r="AV169" s="513"/>
      <c r="AW169" s="514"/>
      <c r="AX169" s="513"/>
      <c r="AY169" s="513"/>
      <c r="BB169" s="170"/>
    </row>
    <row r="170" spans="1:54" s="117" customFormat="1" hidden="1">
      <c r="A170" s="171" t="s">
        <v>225</v>
      </c>
      <c r="B170" s="171">
        <f>VLOOKUP(B109,$A164:$AE168,3,FALSE)</f>
        <v>1263.649221203714</v>
      </c>
      <c r="C170" s="171">
        <v>1</v>
      </c>
      <c r="D170" s="171">
        <f>VLOOKUP(D109,$A164:$AE168,3,FALSE)</f>
        <v>1180.6127196485652</v>
      </c>
      <c r="E170" s="171">
        <f>VLOOKUP(E109,$A164:$AE168,4,FALSE)</f>
        <v>1168.3655091601499</v>
      </c>
      <c r="F170" s="171">
        <v>2</v>
      </c>
      <c r="G170" s="171">
        <f>VLOOKUP(G109,$A164:$AE168,4,FALSE)</f>
        <v>1371.375662705266</v>
      </c>
      <c r="H170" s="171">
        <f>VLOOKUP(H109,$A164:$AE168,7,FALSE)</f>
        <v>1275.8964316921292</v>
      </c>
      <c r="I170" s="171">
        <v>3</v>
      </c>
      <c r="J170" s="171">
        <f>VLOOKUP(J109,$A164:$AE168,7,FALSE)</f>
        <v>1378.9630050099181</v>
      </c>
      <c r="K170" s="171" t="e">
        <f>VLOOKUP(K109,$A164:$AE168,10,FALSE)</f>
        <v>#N/A</v>
      </c>
      <c r="L170" s="171">
        <v>4</v>
      </c>
      <c r="M170" s="171" t="e">
        <f>VLOOKUP(M109,$A164:$AE168,10,FALSE)</f>
        <v>#N/A</v>
      </c>
      <c r="N170" s="171" t="e">
        <f>VLOOKUP(N109,$A164:$AE168,13,FALSE)</f>
        <v>#N/A</v>
      </c>
      <c r="O170" s="171">
        <v>5</v>
      </c>
      <c r="P170" s="171" t="e">
        <f>VLOOKUP(P109,$A164:$AE168,13,FALSE)</f>
        <v>#N/A</v>
      </c>
      <c r="Q170" s="171" t="e">
        <f>VLOOKUP(Q109,$A164:$AE168,16,FALSE)</f>
        <v>#N/A</v>
      </c>
      <c r="R170" s="171">
        <v>6</v>
      </c>
      <c r="S170" s="171" t="e">
        <f>VLOOKUP(S109,$A164:$AE168,16,FALSE)</f>
        <v>#N/A</v>
      </c>
      <c r="T170" s="171" t="e">
        <f>VLOOKUP(T109,$A164:$AE168,19,FALSE)</f>
        <v>#N/A</v>
      </c>
      <c r="U170" s="171">
        <v>7</v>
      </c>
      <c r="V170" s="171" t="e">
        <f>VLOOKUP(V109,$A164:$AE168,19,FALSE)</f>
        <v>#N/A</v>
      </c>
      <c r="W170" s="171" t="e">
        <f>VLOOKUP(W109,$A164:$AE168,22,FALSE)</f>
        <v>#N/A</v>
      </c>
      <c r="X170" s="171">
        <v>8</v>
      </c>
      <c r="Y170" s="171" t="e">
        <f>VLOOKUP(Y109,$A164:$AE168,22,FALSE)</f>
        <v>#N/A</v>
      </c>
      <c r="Z170" s="171" t="e">
        <f>VLOOKUP(Z109,$A164:$AE168,25,FALSE)</f>
        <v>#N/A</v>
      </c>
      <c r="AA170" s="171">
        <v>9</v>
      </c>
      <c r="AB170" s="171" t="e">
        <f>VLOOKUP(AB109,$A164:$AE168,25,FALSE)</f>
        <v>#N/A</v>
      </c>
      <c r="AC170" s="171" t="e">
        <f>VLOOKUP(AC109,$A164:$AE168,28,FALSE)</f>
        <v>#N/A</v>
      </c>
      <c r="AD170" s="171">
        <v>10</v>
      </c>
      <c r="AE170" s="171" t="e">
        <f>VLOOKUP(AE109,$A164:$AE168,28,FALSE)</f>
        <v>#N/A</v>
      </c>
      <c r="AF170" s="3"/>
      <c r="AG170" s="118"/>
      <c r="AH170" s="118"/>
      <c r="AI170" s="118"/>
      <c r="AJ170" s="118"/>
      <c r="AK170" s="118"/>
      <c r="AL170" s="118"/>
      <c r="AM170" s="118"/>
      <c r="AN170" s="119"/>
      <c r="AO170" s="119"/>
      <c r="AP170" s="119"/>
      <c r="AQ170" s="119"/>
      <c r="AT170" s="513"/>
      <c r="AU170" s="513"/>
      <c r="AV170" s="513"/>
      <c r="AW170" s="514"/>
      <c r="AX170" s="513"/>
      <c r="AY170" s="513"/>
      <c r="BB170" s="170"/>
    </row>
    <row r="171" spans="1:54" s="176" customFormat="1" hidden="1">
      <c r="A171" s="172" t="s">
        <v>226</v>
      </c>
      <c r="B171" s="172">
        <f>1/(1+(10^-((B170-D170)/400)))*(B121+D121)</f>
        <v>1.2345493444740416</v>
      </c>
      <c r="C171" s="172"/>
      <c r="D171" s="172">
        <f>1/(1+(10^-((D170-B170)/400)))*(B121+D121)</f>
        <v>0.76545065552595859</v>
      </c>
      <c r="E171" s="172">
        <f>1/(1+(10^-((E170-G170)/400)))*(E121+G121)</f>
        <v>0.47420889404075983</v>
      </c>
      <c r="F171" s="172"/>
      <c r="G171" s="172">
        <f>1/(1+(10^-((G170-E170)/400)))*(E121+G121)</f>
        <v>1.5257911059592399</v>
      </c>
      <c r="H171" s="172">
        <f>1/(1+(10^-((H170-J170)/400)))*(H121+J121)</f>
        <v>0.71175658930106533</v>
      </c>
      <c r="I171" s="172"/>
      <c r="J171" s="172">
        <f>1/(1+(10^-((J170-H170)/400)))*(H121+J121)</f>
        <v>1.2882434106989344</v>
      </c>
      <c r="K171" s="172" t="e">
        <f>1/(1+(10^-((K170-M170)/400)))*(K121+M121)</f>
        <v>#N/A</v>
      </c>
      <c r="L171" s="172"/>
      <c r="M171" s="172" t="e">
        <f>1/(1+(10^-((M170-K170)/400)))*(K121+M121)</f>
        <v>#N/A</v>
      </c>
      <c r="N171" s="172" t="e">
        <f>1/(1+(10^-((N170-P170)/400)))*(N121+P121)</f>
        <v>#N/A</v>
      </c>
      <c r="O171" s="172"/>
      <c r="P171" s="172" t="e">
        <f>1/(1+(10^-((P170-N170)/400)))*(N121+P121)</f>
        <v>#N/A</v>
      </c>
      <c r="Q171" s="172" t="e">
        <f>1/(1+(10^-((Q170-S170)/400)))*(Q121+S121)</f>
        <v>#N/A</v>
      </c>
      <c r="R171" s="172"/>
      <c r="S171" s="172" t="e">
        <f>1/(1+(10^-((S170-Q170)/400)))*(Q121+S121)</f>
        <v>#N/A</v>
      </c>
      <c r="T171" s="172" t="e">
        <f>1/(1+(10^-((T170-V170)/400)))*(T121+V121)</f>
        <v>#N/A</v>
      </c>
      <c r="U171" s="172"/>
      <c r="V171" s="172" t="e">
        <f>1/(1+(10^-((V170-T170)/400)))*(T121+V121)</f>
        <v>#N/A</v>
      </c>
      <c r="W171" s="172" t="e">
        <f>1/(1+(10^-((W170-Y170)/400)))*(W121+Y121)</f>
        <v>#N/A</v>
      </c>
      <c r="X171" s="172"/>
      <c r="Y171" s="172" t="e">
        <f>1/(1+(10^-((Y170-W170)/400)))*(W121+Y121)</f>
        <v>#N/A</v>
      </c>
      <c r="Z171" s="172" t="e">
        <f>1/(1+(10^-((Z170-AB170)/400)))*(Z121+AB121)</f>
        <v>#N/A</v>
      </c>
      <c r="AA171" s="172"/>
      <c r="AB171" s="172" t="e">
        <f>1/(1+(10^-((AB170-Z170)/400)))*(Z121+AB121)</f>
        <v>#N/A</v>
      </c>
      <c r="AC171" s="172" t="e">
        <f>1/(1+(10^-((AC170-AE170)/400)))*(AC121+AE121)</f>
        <v>#N/A</v>
      </c>
      <c r="AD171" s="172"/>
      <c r="AE171" s="172" t="e">
        <f>1/(1+(10^-((AE170-AC170)/400)))*(AC121+AE121)</f>
        <v>#N/A</v>
      </c>
      <c r="AF171" s="173"/>
      <c r="AG171" s="174"/>
      <c r="AH171" s="174"/>
      <c r="AI171" s="174"/>
      <c r="AJ171" s="174"/>
      <c r="AK171" s="174"/>
      <c r="AL171" s="174"/>
      <c r="AM171" s="174"/>
      <c r="AN171" s="175"/>
      <c r="AO171" s="175"/>
      <c r="AP171" s="175"/>
      <c r="AQ171" s="175"/>
      <c r="AT171" s="516"/>
      <c r="AU171" s="516"/>
      <c r="AV171" s="516"/>
      <c r="AW171" s="517"/>
      <c r="AX171" s="516"/>
      <c r="AY171" s="516"/>
      <c r="BB171" s="177"/>
    </row>
    <row r="172" spans="1:54" s="182" customFormat="1" hidden="1">
      <c r="A172" s="178" t="s">
        <v>227</v>
      </c>
      <c r="B172" s="178">
        <f>B170+(B121-B171)*$BA$1</f>
        <v>1275.8964316921292</v>
      </c>
      <c r="C172" s="178"/>
      <c r="D172" s="178">
        <f>D170+(D121-D171)*$BA$1</f>
        <v>1168.3655091601499</v>
      </c>
      <c r="E172" s="178">
        <f>E170+(E121-E171)*$BA$1</f>
        <v>1160.7781668554978</v>
      </c>
      <c r="F172" s="178"/>
      <c r="G172" s="178">
        <f>G170+(G121-G171)*$BA$1</f>
        <v>1378.9630050099181</v>
      </c>
      <c r="H172" s="178">
        <f>H170+(H121-H171)*$BA$1</f>
        <v>1264.5083262633123</v>
      </c>
      <c r="I172" s="178"/>
      <c r="J172" s="178">
        <f>J170+(J121-J171)*$BA$1</f>
        <v>1390.3511104387351</v>
      </c>
      <c r="K172" s="178" t="e">
        <f>K170+(K121-K171)*$BA$1</f>
        <v>#N/A</v>
      </c>
      <c r="L172" s="178"/>
      <c r="M172" s="178" t="e">
        <f>M170+(M121-M171)*$BA$1</f>
        <v>#N/A</v>
      </c>
      <c r="N172" s="178" t="e">
        <f>N170+(N121-N171)*$BA$1</f>
        <v>#N/A</v>
      </c>
      <c r="O172" s="178"/>
      <c r="P172" s="178" t="e">
        <f>P170+(P121-P171)*$BA$1</f>
        <v>#N/A</v>
      </c>
      <c r="Q172" s="178" t="e">
        <f>Q170+(Q121-Q171)*$BA$1</f>
        <v>#N/A</v>
      </c>
      <c r="R172" s="178"/>
      <c r="S172" s="178" t="e">
        <f>S170+(S121-S171)*$BA$1</f>
        <v>#N/A</v>
      </c>
      <c r="T172" s="178" t="e">
        <f>T170+(T121-T171)*$BA$1</f>
        <v>#N/A</v>
      </c>
      <c r="U172" s="178"/>
      <c r="V172" s="178" t="e">
        <f>V170+(V121-V171)*$BA$1</f>
        <v>#N/A</v>
      </c>
      <c r="W172" s="178" t="e">
        <f>W170+(W121-W171)*$BA$1</f>
        <v>#N/A</v>
      </c>
      <c r="X172" s="178"/>
      <c r="Y172" s="178" t="e">
        <f>Y170+(Y121-Y171)*$BA$1</f>
        <v>#N/A</v>
      </c>
      <c r="Z172" s="178" t="e">
        <f>Z170+(Z121-Z171)*$BA$1</f>
        <v>#N/A</v>
      </c>
      <c r="AA172" s="178"/>
      <c r="AB172" s="178" t="e">
        <f>AB170+(AB121-AB171)*$BA$1</f>
        <v>#N/A</v>
      </c>
      <c r="AC172" s="178" t="e">
        <f>AC170+(AC121-AC171)*$BA$1</f>
        <v>#N/A</v>
      </c>
      <c r="AD172" s="178"/>
      <c r="AE172" s="178" t="e">
        <f>AE170+(AE121-AE171)*$BA$1</f>
        <v>#N/A</v>
      </c>
      <c r="AF172" s="179"/>
      <c r="AG172" s="180"/>
      <c r="AH172" s="180"/>
      <c r="AI172" s="180"/>
      <c r="AJ172" s="180"/>
      <c r="AK172" s="180"/>
      <c r="AL172" s="180"/>
      <c r="AM172" s="180"/>
      <c r="AN172" s="181"/>
      <c r="AO172" s="181"/>
      <c r="AP172" s="181"/>
      <c r="AQ172" s="181"/>
      <c r="AT172" s="518"/>
      <c r="AU172" s="518"/>
      <c r="AV172" s="518"/>
      <c r="AW172" s="519"/>
      <c r="AX172" s="518"/>
      <c r="AY172" s="518"/>
      <c r="BB172" s="183"/>
    </row>
    <row r="173" spans="1:54" s="182" customFormat="1" hidden="1">
      <c r="A173" s="178"/>
      <c r="B173" s="178"/>
      <c r="C173" s="178"/>
      <c r="D173" s="178"/>
      <c r="E173" s="178"/>
      <c r="F173" s="178"/>
      <c r="G173" s="178"/>
      <c r="H173" s="178"/>
      <c r="I173" s="178"/>
      <c r="J173" s="178"/>
      <c r="K173" s="178"/>
      <c r="L173" s="178"/>
      <c r="M173" s="178"/>
      <c r="N173" s="178"/>
      <c r="O173" s="178"/>
      <c r="P173" s="178"/>
      <c r="Q173" s="178"/>
      <c r="R173" s="178"/>
      <c r="S173" s="178"/>
      <c r="T173" s="178"/>
      <c r="U173" s="178"/>
      <c r="V173" s="178"/>
      <c r="W173" s="178"/>
      <c r="X173" s="178"/>
      <c r="Y173" s="178"/>
      <c r="Z173" s="178"/>
      <c r="AA173" s="178"/>
      <c r="AB173" s="178"/>
      <c r="AC173" s="178"/>
      <c r="AD173" s="178"/>
      <c r="AE173" s="178"/>
      <c r="AF173" s="179"/>
      <c r="AG173" s="180"/>
      <c r="AH173" s="180"/>
      <c r="AI173" s="180"/>
      <c r="AJ173" s="180"/>
      <c r="AK173" s="180"/>
      <c r="AL173" s="180"/>
      <c r="AM173" s="180"/>
      <c r="AN173" s="181"/>
      <c r="AO173" s="181"/>
      <c r="AP173" s="181"/>
      <c r="AQ173" s="181"/>
      <c r="AT173" s="518"/>
      <c r="AU173" s="518"/>
      <c r="AV173" s="518"/>
      <c r="AW173" s="519"/>
      <c r="AX173" s="518"/>
      <c r="AY173" s="518"/>
      <c r="BB173" s="183"/>
    </row>
    <row r="174" spans="1:54" s="117" customFormat="1">
      <c r="A174" s="393" t="str">
        <f>IF($AK95=1,"Pool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Tiebreaker : 1) Games Won vs Lost (if 3 way tie then #5)  2) Head to Head  3) Head to Head Net Points  4) Game Win %  5) Total Pool Net Points  6) Flip a Coin</v>
      </c>
      <c r="B174" s="393"/>
      <c r="C174" s="393"/>
      <c r="D174" s="393"/>
      <c r="E174" s="393"/>
      <c r="F174" s="393"/>
      <c r="G174" s="393"/>
      <c r="H174" s="393"/>
      <c r="I174" s="393"/>
      <c r="J174" s="393"/>
      <c r="K174" s="393"/>
      <c r="L174" s="393"/>
      <c r="M174" s="393"/>
      <c r="N174" s="393"/>
      <c r="O174" s="393"/>
      <c r="P174" s="393"/>
      <c r="Q174" s="393"/>
      <c r="R174" s="393"/>
      <c r="S174" s="393"/>
      <c r="T174" s="393"/>
      <c r="U174" s="393"/>
      <c r="V174" s="393"/>
      <c r="W174" s="393"/>
      <c r="X174" s="393"/>
      <c r="Y174" s="393"/>
      <c r="Z174" s="393"/>
      <c r="AA174" s="393"/>
      <c r="AB174" s="393"/>
      <c r="AC174" s="393"/>
      <c r="AD174" s="393"/>
      <c r="AE174" s="393"/>
      <c r="AF174" s="393"/>
      <c r="AG174" s="393"/>
      <c r="AH174" s="393"/>
      <c r="AI174" s="393"/>
      <c r="AJ174" s="393"/>
      <c r="AK174" s="393"/>
      <c r="AL174" s="393"/>
      <c r="AM174" s="394"/>
      <c r="AN174" s="394"/>
      <c r="AO174" s="394"/>
      <c r="AP174" s="394"/>
      <c r="AT174" s="513"/>
      <c r="AU174" s="513"/>
      <c r="AV174" s="513"/>
      <c r="AW174" s="514"/>
      <c r="AX174" s="513"/>
      <c r="AY174" s="513"/>
    </row>
    <row r="175" spans="1:54" s="117" customFormat="1" ht="13.5" thickBot="1">
      <c r="A175" s="395"/>
      <c r="B175" s="395"/>
      <c r="C175" s="395"/>
      <c r="D175" s="395"/>
      <c r="E175" s="395"/>
      <c r="F175" s="395"/>
      <c r="G175" s="395"/>
      <c r="H175" s="395"/>
      <c r="I175" s="395"/>
      <c r="J175" s="395"/>
      <c r="K175" s="395"/>
      <c r="L175" s="395"/>
      <c r="M175" s="395"/>
      <c r="N175" s="395"/>
      <c r="O175" s="395"/>
      <c r="P175" s="395"/>
      <c r="Q175" s="395"/>
      <c r="R175" s="395"/>
      <c r="S175" s="395"/>
      <c r="T175" s="395"/>
      <c r="U175" s="395"/>
      <c r="V175" s="395"/>
      <c r="W175" s="395"/>
      <c r="X175" s="395"/>
      <c r="Y175" s="395"/>
      <c r="Z175" s="395"/>
      <c r="AA175" s="395"/>
      <c r="AB175" s="395"/>
      <c r="AC175" s="395"/>
      <c r="AD175" s="395"/>
      <c r="AE175" s="395"/>
      <c r="AF175" s="395"/>
      <c r="AG175" s="395"/>
      <c r="AH175" s="395"/>
      <c r="AI175" s="395"/>
      <c r="AJ175" s="395"/>
      <c r="AK175" s="395"/>
      <c r="AL175" s="395"/>
      <c r="AM175" s="395"/>
      <c r="AN175" s="395"/>
      <c r="AO175" s="395"/>
      <c r="AP175" s="395"/>
      <c r="AQ175" s="395"/>
      <c r="AT175" s="513"/>
      <c r="AU175" s="513"/>
      <c r="AV175" s="513"/>
      <c r="AW175" s="514"/>
      <c r="AX175" s="513"/>
      <c r="AY175" s="513"/>
    </row>
    <row r="176" spans="1:54" ht="24" customHeight="1" thickBot="1">
      <c r="A176" s="96" t="s">
        <v>16</v>
      </c>
      <c r="B176" s="150" t="s">
        <v>249</v>
      </c>
      <c r="C176" s="274" t="s">
        <v>188</v>
      </c>
      <c r="D176" s="275"/>
      <c r="E176" s="275"/>
      <c r="F176" s="275"/>
      <c r="G176" s="275"/>
      <c r="H176" s="276"/>
      <c r="I176" s="277">
        <v>3</v>
      </c>
      <c r="J176" s="278"/>
      <c r="K176" s="460" t="str">
        <f>"Pool "&amp;B176&amp;" - Round 3 - Court "&amp;I176</f>
        <v>Pool C3 - Round 3 - Court 3</v>
      </c>
      <c r="L176" s="461"/>
      <c r="M176" s="461"/>
      <c r="N176" s="461"/>
      <c r="O176" s="461"/>
      <c r="P176" s="461"/>
      <c r="Q176" s="461"/>
      <c r="R176" s="461"/>
      <c r="S176" s="461"/>
      <c r="T176" s="461"/>
      <c r="U176" s="461"/>
      <c r="V176" s="461"/>
      <c r="W176" s="461"/>
      <c r="X176" s="461"/>
      <c r="Y176" s="461"/>
      <c r="Z176" s="461"/>
      <c r="AA176" s="461"/>
      <c r="AB176" s="461"/>
      <c r="AC176" s="461"/>
      <c r="AD176" s="461"/>
      <c r="AE176" s="461"/>
      <c r="AF176" s="461"/>
      <c r="AG176" s="461"/>
      <c r="AH176" s="461"/>
      <c r="AI176" s="462"/>
      <c r="AJ176" s="1"/>
      <c r="AK176" s="1"/>
      <c r="AL176" s="1"/>
      <c r="AM176" s="1"/>
      <c r="AN176" s="1"/>
      <c r="AO176" s="1"/>
      <c r="AP176" s="1"/>
      <c r="AQ176" s="1"/>
    </row>
    <row r="177" spans="1:44" ht="27" customHeight="1" thickBot="1">
      <c r="A177" s="97" t="s">
        <v>17</v>
      </c>
      <c r="B177" s="282" t="s">
        <v>5</v>
      </c>
      <c r="C177" s="295"/>
      <c r="D177" s="295"/>
      <c r="E177" s="295"/>
      <c r="F177" s="295"/>
      <c r="G177" s="295"/>
      <c r="H177" s="295"/>
      <c r="I177" s="295"/>
      <c r="J177" s="295"/>
      <c r="K177" s="295"/>
      <c r="L177" s="282" t="str">
        <f>IF($AK180=0,"Games Won","Matches Won")</f>
        <v>Games Won</v>
      </c>
      <c r="M177" s="295"/>
      <c r="N177" s="295"/>
      <c r="O177" s="295"/>
      <c r="P177" s="295"/>
      <c r="Q177" s="296"/>
      <c r="R177" s="282" t="str">
        <f>IF($AK180=0,"Games Lost","Matches Lost")</f>
        <v>Games Lost</v>
      </c>
      <c r="S177" s="299"/>
      <c r="T177" s="299"/>
      <c r="U177" s="299"/>
      <c r="V177" s="300"/>
      <c r="W177" s="301" t="s">
        <v>18</v>
      </c>
      <c r="X177" s="302"/>
      <c r="Y177" s="303"/>
      <c r="Z177" s="301" t="s">
        <v>189</v>
      </c>
      <c r="AA177" s="302"/>
      <c r="AB177" s="303"/>
      <c r="AC177" s="312" t="s">
        <v>19</v>
      </c>
      <c r="AD177" s="313"/>
      <c r="AE177" s="314"/>
      <c r="AF177" s="98" t="s">
        <v>20</v>
      </c>
      <c r="AG177" s="151" t="s">
        <v>4</v>
      </c>
      <c r="AH177" s="315" t="s">
        <v>21</v>
      </c>
      <c r="AI177" s="316"/>
      <c r="AJ177" s="99"/>
      <c r="AK177" s="100">
        <v>2</v>
      </c>
      <c r="AL177" s="101" t="s">
        <v>22</v>
      </c>
      <c r="AM177" s="101"/>
      <c r="AN177" s="101"/>
      <c r="AO177" s="101"/>
      <c r="AP177" s="101"/>
      <c r="AQ177" s="101"/>
      <c r="AR177" s="102"/>
    </row>
    <row r="178" spans="1:44" ht="18.75" customHeight="1">
      <c r="A178" s="317" t="str">
        <f>IF($AK179&gt;0,"1","")</f>
        <v>1</v>
      </c>
      <c r="B178" s="319" t="s">
        <v>5</v>
      </c>
      <c r="C178" s="320"/>
      <c r="D178" s="321"/>
      <c r="E178" s="322" t="str">
        <f>'AM 9 Team Pool - Rnd 2'!X264</f>
        <v>SC Midlands KP White</v>
      </c>
      <c r="F178" s="323"/>
      <c r="G178" s="323"/>
      <c r="H178" s="323"/>
      <c r="I178" s="323"/>
      <c r="J178" s="323"/>
      <c r="K178" s="324"/>
      <c r="L178" s="304">
        <f>IF($AK180=0,AF234,AF216)</f>
        <v>3</v>
      </c>
      <c r="M178" s="305"/>
      <c r="N178" s="305"/>
      <c r="O178" s="305"/>
      <c r="P178" s="305"/>
      <c r="Q178" s="297"/>
      <c r="R178" s="304">
        <f>IF($AK180=0,AG234,AG216)</f>
        <v>1</v>
      </c>
      <c r="S178" s="305"/>
      <c r="T178" s="305"/>
      <c r="U178" s="305"/>
      <c r="V178" s="305"/>
      <c r="W178" s="304">
        <f>AQ194</f>
        <v>4</v>
      </c>
      <c r="X178" s="305"/>
      <c r="Y178" s="305"/>
      <c r="Z178" s="308">
        <f>IF(AF228&gt;0,(AQ194/AF228),0)</f>
        <v>5.2631578947368418E-2</v>
      </c>
      <c r="AA178" s="309"/>
      <c r="AB178" s="309"/>
      <c r="AC178" s="325">
        <f>IF(AF242=0,0,(AF234/AF242))</f>
        <v>0.75</v>
      </c>
      <c r="AD178" s="326"/>
      <c r="AE178" s="327"/>
      <c r="AF178" s="331">
        <v>1</v>
      </c>
      <c r="AG178" s="331">
        <v>1</v>
      </c>
      <c r="AH178" s="333">
        <v>7</v>
      </c>
      <c r="AI178" s="334"/>
      <c r="AJ178" s="99"/>
      <c r="AK178" s="100">
        <v>3</v>
      </c>
      <c r="AL178" s="101" t="s">
        <v>23</v>
      </c>
      <c r="AM178" s="101"/>
      <c r="AN178" s="101"/>
      <c r="AO178" s="101"/>
      <c r="AP178" s="101"/>
      <c r="AQ178" s="101"/>
      <c r="AR178" s="102"/>
    </row>
    <row r="179" spans="1:44" ht="18.75" customHeight="1" thickBot="1">
      <c r="A179" s="318"/>
      <c r="B179" s="337" t="s">
        <v>6</v>
      </c>
      <c r="C179" s="338"/>
      <c r="D179" s="339"/>
      <c r="E179" s="340" t="str">
        <f>'AM 9 Team Pool - Rnd 2'!AC264</f>
        <v>fj2scmid2pm</v>
      </c>
      <c r="F179" s="341"/>
      <c r="G179" s="341"/>
      <c r="H179" s="341"/>
      <c r="I179" s="341"/>
      <c r="J179" s="341"/>
      <c r="K179" s="341"/>
      <c r="L179" s="306"/>
      <c r="M179" s="307"/>
      <c r="N179" s="307"/>
      <c r="O179" s="307"/>
      <c r="P179" s="307"/>
      <c r="Q179" s="297"/>
      <c r="R179" s="306"/>
      <c r="S179" s="307"/>
      <c r="T179" s="307"/>
      <c r="U179" s="307"/>
      <c r="V179" s="307"/>
      <c r="W179" s="306"/>
      <c r="X179" s="307"/>
      <c r="Y179" s="307"/>
      <c r="Z179" s="310"/>
      <c r="AA179" s="311"/>
      <c r="AB179" s="311"/>
      <c r="AC179" s="328"/>
      <c r="AD179" s="329"/>
      <c r="AE179" s="330"/>
      <c r="AF179" s="332"/>
      <c r="AG179" s="332"/>
      <c r="AH179" s="335"/>
      <c r="AI179" s="336"/>
      <c r="AJ179" s="99"/>
      <c r="AK179" s="100">
        <v>3</v>
      </c>
      <c r="AL179" s="101" t="s">
        <v>190</v>
      </c>
      <c r="AM179" s="99"/>
      <c r="AN179" s="99"/>
      <c r="AO179" s="99"/>
      <c r="AP179" s="99"/>
      <c r="AQ179" s="99"/>
      <c r="AR179" s="46"/>
    </row>
    <row r="180" spans="1:44" ht="18.75" customHeight="1">
      <c r="A180" s="317" t="str">
        <f>IF($AK179&gt;1,"2","")</f>
        <v>2</v>
      </c>
      <c r="B180" s="319" t="s">
        <v>5</v>
      </c>
      <c r="C180" s="320"/>
      <c r="D180" s="321"/>
      <c r="E180" s="322" t="str">
        <f>'AM 9 Team Pool - Rnd 2'!X265</f>
        <v>Columbia SC Starlings 12</v>
      </c>
      <c r="F180" s="323"/>
      <c r="G180" s="323"/>
      <c r="H180" s="323"/>
      <c r="I180" s="323"/>
      <c r="J180" s="323"/>
      <c r="K180" s="324"/>
      <c r="L180" s="304">
        <f>IF($AK180=0,AF235,AF217)</f>
        <v>1</v>
      </c>
      <c r="M180" s="305"/>
      <c r="N180" s="305"/>
      <c r="O180" s="305"/>
      <c r="P180" s="305"/>
      <c r="Q180" s="297"/>
      <c r="R180" s="304">
        <f>IF($AK180=0,AG235,AG217)</f>
        <v>3</v>
      </c>
      <c r="S180" s="305"/>
      <c r="T180" s="305"/>
      <c r="U180" s="305"/>
      <c r="V180" s="305"/>
      <c r="W180" s="304">
        <f>AQ195</f>
        <v>-8</v>
      </c>
      <c r="X180" s="305"/>
      <c r="Y180" s="305"/>
      <c r="Z180" s="308">
        <f>IF(AF229&gt;0,(AQ195/AF229),0)</f>
        <v>-0.1</v>
      </c>
      <c r="AA180" s="309"/>
      <c r="AB180" s="309"/>
      <c r="AC180" s="325">
        <f>IF(AF243=0,0,(AF235/AF243))</f>
        <v>0.25</v>
      </c>
      <c r="AD180" s="326"/>
      <c r="AE180" s="327"/>
      <c r="AF180" s="331">
        <v>9</v>
      </c>
      <c r="AG180" s="331">
        <v>1</v>
      </c>
      <c r="AH180" s="333">
        <v>9</v>
      </c>
      <c r="AI180" s="334"/>
      <c r="AJ180" s="99"/>
      <c r="AK180" s="100">
        <v>0</v>
      </c>
      <c r="AL180" s="101" t="s">
        <v>24</v>
      </c>
      <c r="AM180" s="101"/>
      <c r="AN180" s="101"/>
      <c r="AO180" s="101"/>
      <c r="AP180" s="101"/>
      <c r="AQ180" s="101"/>
      <c r="AR180" s="102"/>
    </row>
    <row r="181" spans="1:44" ht="18.75" customHeight="1" thickBot="1">
      <c r="A181" s="318"/>
      <c r="B181" s="342" t="s">
        <v>6</v>
      </c>
      <c r="C181" s="343"/>
      <c r="D181" s="343"/>
      <c r="E181" s="340" t="str">
        <f>'AM 9 Team Pool - Rnd 2'!AC265</f>
        <v>fj2starl1pm</v>
      </c>
      <c r="F181" s="341"/>
      <c r="G181" s="341"/>
      <c r="H181" s="341"/>
      <c r="I181" s="341"/>
      <c r="J181" s="341"/>
      <c r="K181" s="341"/>
      <c r="L181" s="306"/>
      <c r="M181" s="307"/>
      <c r="N181" s="307"/>
      <c r="O181" s="307"/>
      <c r="P181" s="307"/>
      <c r="Q181" s="297"/>
      <c r="R181" s="306"/>
      <c r="S181" s="307"/>
      <c r="T181" s="307"/>
      <c r="U181" s="307"/>
      <c r="V181" s="307"/>
      <c r="W181" s="306"/>
      <c r="X181" s="307"/>
      <c r="Y181" s="307"/>
      <c r="Z181" s="310"/>
      <c r="AA181" s="311"/>
      <c r="AB181" s="311"/>
      <c r="AC181" s="328"/>
      <c r="AD181" s="329"/>
      <c r="AE181" s="330"/>
      <c r="AF181" s="332"/>
      <c r="AG181" s="332"/>
      <c r="AH181" s="335"/>
      <c r="AI181" s="336"/>
      <c r="AJ181" s="99"/>
      <c r="AK181" s="100">
        <v>1</v>
      </c>
      <c r="AL181" s="101" t="s">
        <v>25</v>
      </c>
      <c r="AM181" s="99"/>
      <c r="AN181" s="99"/>
      <c r="AO181" s="99"/>
      <c r="AP181" s="99"/>
      <c r="AQ181" s="99"/>
      <c r="AR181" s="46"/>
    </row>
    <row r="182" spans="1:44" ht="18.75" customHeight="1">
      <c r="A182" s="317" t="str">
        <f>IF($AK179&gt;2,"3","")</f>
        <v>3</v>
      </c>
      <c r="B182" s="344" t="s">
        <v>5</v>
      </c>
      <c r="C182" s="345"/>
      <c r="D182" s="345"/>
      <c r="E182" s="322" t="str">
        <f>'AM 9 Team Pool - Rnd 2'!X266</f>
        <v>Magnum 12 Red</v>
      </c>
      <c r="F182" s="323"/>
      <c r="G182" s="323"/>
      <c r="H182" s="323"/>
      <c r="I182" s="323"/>
      <c r="J182" s="323"/>
      <c r="K182" s="324"/>
      <c r="L182" s="304">
        <f>IF($AK180=0,AF236,AF218)</f>
        <v>2</v>
      </c>
      <c r="M182" s="305"/>
      <c r="N182" s="305"/>
      <c r="O182" s="305"/>
      <c r="P182" s="305"/>
      <c r="Q182" s="297"/>
      <c r="R182" s="304">
        <f>IF($AK180=0,AG236,AG218)</f>
        <v>2</v>
      </c>
      <c r="S182" s="305"/>
      <c r="T182" s="305"/>
      <c r="U182" s="305"/>
      <c r="V182" s="305"/>
      <c r="W182" s="304">
        <f>AQ196</f>
        <v>4</v>
      </c>
      <c r="X182" s="305"/>
      <c r="Y182" s="305"/>
      <c r="Z182" s="308">
        <f>IF(AF230&gt;0,(AQ196/AF230),0)</f>
        <v>5.5555555555555552E-2</v>
      </c>
      <c r="AA182" s="309"/>
      <c r="AB182" s="309"/>
      <c r="AC182" s="325">
        <f>IF(AF244=0,0,(AF236/AF244))</f>
        <v>0.5</v>
      </c>
      <c r="AD182" s="326"/>
      <c r="AE182" s="327"/>
      <c r="AF182" s="331">
        <v>2</v>
      </c>
      <c r="AG182" s="331">
        <v>1</v>
      </c>
      <c r="AH182" s="333">
        <v>8</v>
      </c>
      <c r="AI182" s="334"/>
      <c r="AJ182" s="103"/>
      <c r="AK182" s="100">
        <v>4</v>
      </c>
      <c r="AL182" s="152" t="s">
        <v>191</v>
      </c>
      <c r="AM182" s="101"/>
      <c r="AN182" s="101"/>
      <c r="AO182" s="101"/>
      <c r="AP182" s="101"/>
      <c r="AQ182" s="101"/>
      <c r="AR182" s="102"/>
    </row>
    <row r="183" spans="1:44" ht="18.75" customHeight="1" thickBot="1">
      <c r="A183" s="318"/>
      <c r="B183" s="342" t="s">
        <v>6</v>
      </c>
      <c r="C183" s="343"/>
      <c r="D183" s="343"/>
      <c r="E183" s="340" t="str">
        <f>'AM 9 Team Pool - Rnd 2'!AC266</f>
        <v>fj2magnm3pm</v>
      </c>
      <c r="F183" s="341"/>
      <c r="G183" s="341"/>
      <c r="H183" s="341"/>
      <c r="I183" s="341"/>
      <c r="J183" s="341"/>
      <c r="K183" s="341"/>
      <c r="L183" s="306"/>
      <c r="M183" s="307"/>
      <c r="N183" s="307"/>
      <c r="O183" s="307"/>
      <c r="P183" s="307"/>
      <c r="Q183" s="297"/>
      <c r="R183" s="306"/>
      <c r="S183" s="307"/>
      <c r="T183" s="307"/>
      <c r="U183" s="307"/>
      <c r="V183" s="307"/>
      <c r="W183" s="306"/>
      <c r="X183" s="307"/>
      <c r="Y183" s="307"/>
      <c r="Z183" s="310"/>
      <c r="AA183" s="311"/>
      <c r="AB183" s="311"/>
      <c r="AC183" s="328"/>
      <c r="AD183" s="329"/>
      <c r="AE183" s="330"/>
      <c r="AF183" s="332"/>
      <c r="AG183" s="332"/>
      <c r="AH183" s="335"/>
      <c r="AI183" s="336"/>
      <c r="AJ183" s="103"/>
      <c r="AK183" s="153"/>
      <c r="AL183" s="154"/>
      <c r="AM183" s="154"/>
      <c r="AN183" s="154"/>
      <c r="AO183" s="154"/>
      <c r="AP183" s="154"/>
      <c r="AQ183" s="99"/>
      <c r="AR183" s="46"/>
    </row>
    <row r="184" spans="1:44" ht="18.75" hidden="1" customHeight="1">
      <c r="A184" s="317" t="str">
        <f>IF($AK179&gt;3,"4","")</f>
        <v/>
      </c>
      <c r="B184" s="344" t="s">
        <v>5</v>
      </c>
      <c r="C184" s="345"/>
      <c r="D184" s="345"/>
      <c r="E184" s="322" t="str">
        <f>AU12</f>
        <v>Team 10</v>
      </c>
      <c r="F184" s="323"/>
      <c r="G184" s="323"/>
      <c r="H184" s="323"/>
      <c r="I184" s="323"/>
      <c r="J184" s="323"/>
      <c r="K184" s="324"/>
      <c r="L184" s="304">
        <f>IF($AK180=0,AF237,AF219)</f>
        <v>0</v>
      </c>
      <c r="M184" s="305"/>
      <c r="N184" s="305"/>
      <c r="O184" s="305"/>
      <c r="P184" s="305"/>
      <c r="Q184" s="297"/>
      <c r="R184" s="304">
        <f>IF($AK180=0,AG237,AG219)</f>
        <v>0</v>
      </c>
      <c r="S184" s="305"/>
      <c r="T184" s="305"/>
      <c r="U184" s="305"/>
      <c r="V184" s="305"/>
      <c r="W184" s="304">
        <f>AQ197</f>
        <v>0</v>
      </c>
      <c r="X184" s="305"/>
      <c r="Y184" s="305"/>
      <c r="Z184" s="308">
        <f>IF(AF231&gt;0,(AQ197/AF231),0)</f>
        <v>0</v>
      </c>
      <c r="AA184" s="309"/>
      <c r="AB184" s="309"/>
      <c r="AC184" s="325">
        <f>IF(AF245=0,0,(AF237/AF245))</f>
        <v>0</v>
      </c>
      <c r="AD184" s="326"/>
      <c r="AE184" s="327"/>
      <c r="AF184" s="331"/>
      <c r="AG184" s="331"/>
      <c r="AH184" s="333"/>
      <c r="AI184" s="334"/>
      <c r="AJ184" s="1"/>
      <c r="AK184" s="154"/>
      <c r="AL184" s="154"/>
      <c r="AM184" s="154"/>
      <c r="AN184" s="154"/>
      <c r="AO184" s="154"/>
      <c r="AP184" s="154"/>
      <c r="AQ184" s="101"/>
      <c r="AR184" s="102"/>
    </row>
    <row r="185" spans="1:44" ht="18.75" hidden="1" customHeight="1" thickBot="1">
      <c r="A185" s="318"/>
      <c r="B185" s="342" t="s">
        <v>6</v>
      </c>
      <c r="C185" s="343"/>
      <c r="D185" s="343"/>
      <c r="E185" s="340" t="str">
        <f>AV12</f>
        <v>Code 10</v>
      </c>
      <c r="F185" s="341"/>
      <c r="G185" s="341"/>
      <c r="H185" s="341"/>
      <c r="I185" s="341"/>
      <c r="J185" s="341"/>
      <c r="K185" s="341"/>
      <c r="L185" s="306"/>
      <c r="M185" s="307"/>
      <c r="N185" s="307"/>
      <c r="O185" s="307"/>
      <c r="P185" s="307"/>
      <c r="Q185" s="297"/>
      <c r="R185" s="306"/>
      <c r="S185" s="307"/>
      <c r="T185" s="307"/>
      <c r="U185" s="307"/>
      <c r="V185" s="307"/>
      <c r="W185" s="306"/>
      <c r="X185" s="307"/>
      <c r="Y185" s="307"/>
      <c r="Z185" s="310"/>
      <c r="AA185" s="311"/>
      <c r="AB185" s="311"/>
      <c r="AC185" s="328"/>
      <c r="AD185" s="329"/>
      <c r="AE185" s="330"/>
      <c r="AF185" s="332"/>
      <c r="AG185" s="332"/>
      <c r="AH185" s="335"/>
      <c r="AI185" s="336"/>
      <c r="AJ185" s="1"/>
      <c r="AK185" s="154"/>
      <c r="AL185" s="154"/>
      <c r="AM185" s="154"/>
      <c r="AN185" s="154"/>
      <c r="AO185" s="154"/>
      <c r="AP185" s="154"/>
      <c r="AQ185" s="1"/>
      <c r="AR185" s="46"/>
    </row>
    <row r="186" spans="1:44" ht="18.75" hidden="1" customHeight="1">
      <c r="A186" s="317" t="str">
        <f>IF($AK179&gt;4,"5","")</f>
        <v/>
      </c>
      <c r="B186" s="344" t="s">
        <v>5</v>
      </c>
      <c r="C186" s="345"/>
      <c r="D186" s="345"/>
      <c r="E186" s="346">
        <f>AU17</f>
        <v>0</v>
      </c>
      <c r="F186" s="347"/>
      <c r="G186" s="347"/>
      <c r="H186" s="347"/>
      <c r="I186" s="347"/>
      <c r="J186" s="347"/>
      <c r="K186" s="348"/>
      <c r="L186" s="304">
        <f>IF($AK180=0,AF238,AF220)</f>
        <v>0</v>
      </c>
      <c r="M186" s="305"/>
      <c r="N186" s="305"/>
      <c r="O186" s="305"/>
      <c r="P186" s="305"/>
      <c r="Q186" s="297"/>
      <c r="R186" s="304">
        <f>IF($AK180=0,AG238,AG220)</f>
        <v>0</v>
      </c>
      <c r="S186" s="305"/>
      <c r="T186" s="305"/>
      <c r="U186" s="305"/>
      <c r="V186" s="305"/>
      <c r="W186" s="304">
        <f>AQ198</f>
        <v>0</v>
      </c>
      <c r="X186" s="305"/>
      <c r="Y186" s="305"/>
      <c r="Z186" s="308">
        <f>IF(AF232&gt;0,(AQ198/AF232),0)</f>
        <v>0</v>
      </c>
      <c r="AA186" s="309"/>
      <c r="AB186" s="309"/>
      <c r="AC186" s="325">
        <f>IF(AF246=0,0,(AF238/AF246))</f>
        <v>0</v>
      </c>
      <c r="AD186" s="326"/>
      <c r="AE186" s="327"/>
      <c r="AF186" s="331"/>
      <c r="AG186" s="331"/>
      <c r="AH186" s="333"/>
      <c r="AI186" s="334"/>
      <c r="AJ186" s="1"/>
      <c r="AK186" s="154"/>
      <c r="AL186" s="154"/>
      <c r="AM186" s="154"/>
      <c r="AN186" s="154"/>
      <c r="AO186" s="154"/>
      <c r="AP186" s="154"/>
      <c r="AQ186" s="1"/>
      <c r="AR186" s="46"/>
    </row>
    <row r="187" spans="1:44" ht="18.75" hidden="1" customHeight="1" thickBot="1">
      <c r="A187" s="318"/>
      <c r="B187" s="359" t="s">
        <v>6</v>
      </c>
      <c r="C187" s="360"/>
      <c r="D187" s="360"/>
      <c r="E187" s="361">
        <f>AV17</f>
        <v>0</v>
      </c>
      <c r="F187" s="362"/>
      <c r="G187" s="362"/>
      <c r="H187" s="362"/>
      <c r="I187" s="362"/>
      <c r="J187" s="362"/>
      <c r="K187" s="362"/>
      <c r="L187" s="349"/>
      <c r="M187" s="350"/>
      <c r="N187" s="350"/>
      <c r="O187" s="350"/>
      <c r="P187" s="350"/>
      <c r="Q187" s="298"/>
      <c r="R187" s="349"/>
      <c r="S187" s="350"/>
      <c r="T187" s="350"/>
      <c r="U187" s="350"/>
      <c r="V187" s="350"/>
      <c r="W187" s="349"/>
      <c r="X187" s="350"/>
      <c r="Y187" s="350"/>
      <c r="Z187" s="351"/>
      <c r="AA187" s="352"/>
      <c r="AB187" s="352"/>
      <c r="AC187" s="353"/>
      <c r="AD187" s="354"/>
      <c r="AE187" s="355"/>
      <c r="AF187" s="356"/>
      <c r="AG187" s="356"/>
      <c r="AH187" s="357"/>
      <c r="AI187" s="358"/>
      <c r="AJ187" s="1"/>
      <c r="AK187" s="154"/>
      <c r="AL187" s="154"/>
      <c r="AM187" s="154"/>
      <c r="AN187" s="154"/>
      <c r="AO187" s="154"/>
      <c r="AP187" s="154"/>
      <c r="AQ187" s="1"/>
      <c r="AR187" s="46"/>
    </row>
    <row r="188" spans="1:44" ht="21" customHeight="1" thickTop="1" thickBot="1">
      <c r="A188" s="106"/>
      <c r="B188" s="363" t="s">
        <v>198</v>
      </c>
      <c r="C188" s="364"/>
      <c r="D188" s="364"/>
      <c r="E188" s="364"/>
      <c r="F188" s="364"/>
      <c r="G188" s="364"/>
      <c r="H188" s="364"/>
      <c r="I188" s="364"/>
      <c r="J188" s="364"/>
      <c r="K188" s="364"/>
      <c r="L188" s="364"/>
      <c r="M188" s="364"/>
      <c r="N188" s="364"/>
      <c r="O188" s="364"/>
      <c r="P188" s="364"/>
      <c r="Q188" s="364"/>
      <c r="R188" s="364"/>
      <c r="S188" s="364"/>
      <c r="T188" s="364"/>
      <c r="U188" s="364"/>
      <c r="V188" s="364"/>
      <c r="W188" s="364"/>
      <c r="X188" s="364"/>
      <c r="Y188" s="364"/>
      <c r="Z188" s="364"/>
      <c r="AA188" s="364"/>
      <c r="AB188" s="364"/>
      <c r="AC188" s="364"/>
      <c r="AD188" s="364"/>
      <c r="AE188" s="364"/>
      <c r="AF188" s="364"/>
      <c r="AG188" s="364"/>
      <c r="AH188" s="364"/>
      <c r="AI188" s="365"/>
      <c r="AJ188" s="1"/>
      <c r="AK188" s="154"/>
      <c r="AL188" s="154"/>
      <c r="AM188" s="154"/>
      <c r="AN188" s="154"/>
      <c r="AO188" s="154"/>
      <c r="AP188" s="154"/>
      <c r="AQ188" s="1"/>
      <c r="AR188" s="46"/>
    </row>
    <row r="189" spans="1:44" ht="13.5" thickTop="1">
      <c r="A189" s="3" t="s">
        <v>27</v>
      </c>
      <c r="B189" s="372">
        <v>0.47916666666666669</v>
      </c>
      <c r="C189" s="373"/>
      <c r="D189" s="374"/>
      <c r="E189" s="372">
        <v>0.5</v>
      </c>
      <c r="F189" s="373"/>
      <c r="G189" s="374"/>
      <c r="H189" s="372">
        <v>0.52083333333333337</v>
      </c>
      <c r="I189" s="373"/>
      <c r="J189" s="374"/>
      <c r="K189" s="372">
        <v>0.47916666666666669</v>
      </c>
      <c r="L189" s="373"/>
      <c r="M189" s="374"/>
      <c r="N189" s="372">
        <v>0.52083333333333337</v>
      </c>
      <c r="O189" s="373"/>
      <c r="P189" s="374"/>
      <c r="Q189" s="372">
        <v>6.25E-2</v>
      </c>
      <c r="R189" s="373"/>
      <c r="S189" s="374"/>
      <c r="T189" s="372">
        <v>4.1666666666666664E-2</v>
      </c>
      <c r="U189" s="373"/>
      <c r="V189" s="374"/>
      <c r="W189" s="372">
        <v>7.2916666666666671E-2</v>
      </c>
      <c r="X189" s="373"/>
      <c r="Y189" s="374"/>
      <c r="Z189" s="372">
        <v>0.10416666666666667</v>
      </c>
      <c r="AA189" s="373"/>
      <c r="AB189" s="374"/>
      <c r="AC189" s="372">
        <v>0.13541666666666666</v>
      </c>
      <c r="AD189" s="373"/>
      <c r="AE189" s="374"/>
      <c r="AF189" s="375" t="s">
        <v>199</v>
      </c>
      <c r="AG189" s="376"/>
      <c r="AH189" s="376"/>
      <c r="AI189" s="376"/>
      <c r="AJ189" s="377"/>
      <c r="AK189" s="377"/>
      <c r="AL189" s="377"/>
      <c r="AM189" s="377"/>
      <c r="AN189" s="377"/>
      <c r="AO189" s="377"/>
      <c r="AP189" s="377"/>
      <c r="AQ189" s="378"/>
    </row>
    <row r="190" spans="1:44">
      <c r="A190" s="107" t="s">
        <v>28</v>
      </c>
      <c r="B190" s="383"/>
      <c r="C190" s="384"/>
      <c r="D190" s="385"/>
      <c r="E190" s="383"/>
      <c r="F190" s="384"/>
      <c r="G190" s="385"/>
      <c r="H190" s="383"/>
      <c r="I190" s="384"/>
      <c r="J190" s="385"/>
      <c r="K190" s="383"/>
      <c r="L190" s="384"/>
      <c r="M190" s="385"/>
      <c r="N190" s="383"/>
      <c r="O190" s="384"/>
      <c r="P190" s="385"/>
      <c r="Q190" s="383"/>
      <c r="R190" s="384"/>
      <c r="S190" s="385"/>
      <c r="T190" s="383"/>
      <c r="U190" s="384"/>
      <c r="V190" s="385"/>
      <c r="W190" s="383"/>
      <c r="X190" s="384"/>
      <c r="Y190" s="385"/>
      <c r="Z190" s="383"/>
      <c r="AA190" s="384"/>
      <c r="AB190" s="385"/>
      <c r="AC190" s="383"/>
      <c r="AD190" s="384"/>
      <c r="AE190" s="385"/>
      <c r="AF190" s="375"/>
      <c r="AG190" s="376"/>
      <c r="AH190" s="376"/>
      <c r="AI190" s="376"/>
      <c r="AJ190" s="376"/>
      <c r="AK190" s="376"/>
      <c r="AL190" s="376"/>
      <c r="AM190" s="376"/>
      <c r="AN190" s="376"/>
      <c r="AO190" s="376"/>
      <c r="AP190" s="376"/>
      <c r="AQ190" s="379"/>
    </row>
    <row r="191" spans="1:44">
      <c r="A191" s="107" t="s">
        <v>29</v>
      </c>
      <c r="B191" s="383"/>
      <c r="C191" s="384"/>
      <c r="D191" s="385"/>
      <c r="E191" s="383"/>
      <c r="F191" s="384"/>
      <c r="G191" s="385"/>
      <c r="H191" s="383"/>
      <c r="I191" s="384"/>
      <c r="J191" s="385"/>
      <c r="K191" s="383"/>
      <c r="L191" s="384"/>
      <c r="M191" s="385"/>
      <c r="N191" s="383"/>
      <c r="O191" s="384"/>
      <c r="P191" s="385"/>
      <c r="Q191" s="383"/>
      <c r="R191" s="384"/>
      <c r="S191" s="385"/>
      <c r="T191" s="383"/>
      <c r="U191" s="384"/>
      <c r="V191" s="385"/>
      <c r="W191" s="383"/>
      <c r="X191" s="384"/>
      <c r="Y191" s="385"/>
      <c r="Z191" s="383"/>
      <c r="AA191" s="384"/>
      <c r="AB191" s="385"/>
      <c r="AC191" s="383"/>
      <c r="AD191" s="384"/>
      <c r="AE191" s="385"/>
      <c r="AF191" s="375"/>
      <c r="AG191" s="376"/>
      <c r="AH191" s="376"/>
      <c r="AI191" s="376"/>
      <c r="AJ191" s="376"/>
      <c r="AK191" s="376"/>
      <c r="AL191" s="376"/>
      <c r="AM191" s="376"/>
      <c r="AN191" s="376"/>
      <c r="AO191" s="376"/>
      <c r="AP191" s="376"/>
      <c r="AQ191" s="379"/>
    </row>
    <row r="192" spans="1:44" ht="13.5" thickBot="1">
      <c r="A192" s="1"/>
      <c r="B192" s="386" t="s">
        <v>30</v>
      </c>
      <c r="C192" s="387"/>
      <c r="D192" s="388"/>
      <c r="E192" s="386" t="str">
        <f>IF(AK178&gt;1,"Match 2","")</f>
        <v>Match 2</v>
      </c>
      <c r="F192" s="387"/>
      <c r="G192" s="388"/>
      <c r="H192" s="386" t="str">
        <f>IF(AK178&gt;2,"Match 3","")</f>
        <v>Match 3</v>
      </c>
      <c r="I192" s="387"/>
      <c r="J192" s="388"/>
      <c r="K192" s="386" t="str">
        <f>IF(AK178&gt;3,"Match 4","")</f>
        <v/>
      </c>
      <c r="L192" s="387"/>
      <c r="M192" s="388"/>
      <c r="N192" s="386" t="str">
        <f>IF(AK178&gt;4,"Match 5","")</f>
        <v/>
      </c>
      <c r="O192" s="387"/>
      <c r="P192" s="388"/>
      <c r="Q192" s="386" t="str">
        <f>IF(AK178&gt;5,"Match 6","")</f>
        <v/>
      </c>
      <c r="R192" s="387"/>
      <c r="S192" s="388"/>
      <c r="T192" s="386" t="str">
        <f>IF(AK178&gt;6,"Match 7","")</f>
        <v/>
      </c>
      <c r="U192" s="387"/>
      <c r="V192" s="388"/>
      <c r="W192" s="386" t="str">
        <f>IF(AK178&gt;7,"Match 8","")</f>
        <v/>
      </c>
      <c r="X192" s="387"/>
      <c r="Y192" s="388"/>
      <c r="Z192" s="386" t="str">
        <f>IF(AK178&gt;8,"Match 9","")</f>
        <v/>
      </c>
      <c r="AA192" s="387"/>
      <c r="AB192" s="388"/>
      <c r="AC192" s="386" t="str">
        <f>IF(AK178&gt;9,"Match 10","")</f>
        <v/>
      </c>
      <c r="AD192" s="387"/>
      <c r="AE192" s="388"/>
      <c r="AF192" s="380"/>
      <c r="AG192" s="381"/>
      <c r="AH192" s="381"/>
      <c r="AI192" s="381"/>
      <c r="AJ192" s="381"/>
      <c r="AK192" s="381"/>
      <c r="AL192" s="381"/>
      <c r="AM192" s="381"/>
      <c r="AN192" s="381"/>
      <c r="AO192" s="381"/>
      <c r="AP192" s="381"/>
      <c r="AQ192" s="382"/>
    </row>
    <row r="193" spans="1:51" ht="15.75">
      <c r="A193" s="1"/>
      <c r="B193" s="389" t="s">
        <v>33</v>
      </c>
      <c r="C193" s="390"/>
      <c r="D193" s="391"/>
      <c r="E193" s="389" t="s">
        <v>31</v>
      </c>
      <c r="F193" s="390"/>
      <c r="G193" s="391"/>
      <c r="H193" s="389" t="s">
        <v>32</v>
      </c>
      <c r="I193" s="390"/>
      <c r="J193" s="391"/>
      <c r="K193" s="389"/>
      <c r="L193" s="390"/>
      <c r="M193" s="391"/>
      <c r="N193" s="389"/>
      <c r="O193" s="390"/>
      <c r="P193" s="391"/>
      <c r="Q193" s="389"/>
      <c r="R193" s="390"/>
      <c r="S193" s="391"/>
      <c r="T193" s="389"/>
      <c r="U193" s="390"/>
      <c r="V193" s="391"/>
      <c r="W193" s="389"/>
      <c r="X193" s="390"/>
      <c r="Y193" s="391"/>
      <c r="Z193" s="389"/>
      <c r="AA193" s="390"/>
      <c r="AB193" s="391"/>
      <c r="AC193" s="389"/>
      <c r="AD193" s="390"/>
      <c r="AE193" s="391"/>
      <c r="AF193" s="160" t="s">
        <v>34</v>
      </c>
      <c r="AG193" s="108">
        <v>1</v>
      </c>
      <c r="AH193" s="108">
        <v>2</v>
      </c>
      <c r="AI193" s="108">
        <v>3</v>
      </c>
      <c r="AJ193" s="108">
        <v>4</v>
      </c>
      <c r="AK193" s="108">
        <v>5</v>
      </c>
      <c r="AL193" s="108">
        <v>6</v>
      </c>
      <c r="AM193" s="108">
        <v>7</v>
      </c>
      <c r="AN193" s="108">
        <v>8</v>
      </c>
      <c r="AO193" s="108">
        <v>9</v>
      </c>
      <c r="AP193" s="108">
        <v>10</v>
      </c>
      <c r="AQ193" s="161" t="s">
        <v>200</v>
      </c>
    </row>
    <row r="194" spans="1:51" ht="15.75">
      <c r="A194" s="1"/>
      <c r="B194" s="109">
        <v>1</v>
      </c>
      <c r="C194" s="110" t="s">
        <v>35</v>
      </c>
      <c r="D194" s="111">
        <v>2</v>
      </c>
      <c r="E194" s="109">
        <v>2</v>
      </c>
      <c r="F194" s="110" t="str">
        <f>IF(AK178&gt;1,"v","")</f>
        <v>v</v>
      </c>
      <c r="G194" s="111">
        <v>3</v>
      </c>
      <c r="H194" s="109">
        <v>1</v>
      </c>
      <c r="I194" s="110" t="str">
        <f>IF(AK178&gt;2,"v","")</f>
        <v>v</v>
      </c>
      <c r="J194" s="111">
        <v>3</v>
      </c>
      <c r="K194" s="109"/>
      <c r="L194" s="110" t="str">
        <f>IF(AK178&gt;3,"v","")</f>
        <v/>
      </c>
      <c r="M194" s="111"/>
      <c r="N194" s="109"/>
      <c r="O194" s="110" t="str">
        <f>IF(AK178&gt;4,"v","")</f>
        <v/>
      </c>
      <c r="P194" s="111"/>
      <c r="Q194" s="109"/>
      <c r="R194" s="110" t="str">
        <f>IF(AK178&gt;5,"v","")</f>
        <v/>
      </c>
      <c r="S194" s="111"/>
      <c r="T194" s="109"/>
      <c r="U194" s="110" t="str">
        <f>IF(AK178&gt;6,"v","")</f>
        <v/>
      </c>
      <c r="V194" s="111"/>
      <c r="W194" s="109"/>
      <c r="X194" s="110" t="str">
        <f>IF(AK178&gt;7,"v","")</f>
        <v/>
      </c>
      <c r="Y194" s="111"/>
      <c r="Z194" s="109"/>
      <c r="AA194" s="110" t="str">
        <f>IF(AK178&gt;8,"v","")</f>
        <v/>
      </c>
      <c r="AB194" s="111"/>
      <c r="AC194" s="109"/>
      <c r="AD194" s="110" t="str">
        <f>IF(AK178&gt;9,"v","")</f>
        <v/>
      </c>
      <c r="AE194" s="111"/>
      <c r="AF194" s="160" t="str">
        <f>IF(AK179&gt;0,"Team 1","")</f>
        <v>Team 1</v>
      </c>
      <c r="AG194" s="162">
        <f>IF(AK179&lt;1,"",IF(AK178&lt;1,"",IF(B194=1,B200-D200,IF(D194=1,D200-B200,""))))</f>
        <v>2</v>
      </c>
      <c r="AH194" s="162" t="str">
        <f>IF(AK179&lt;1,"",IF(AK178&lt;2,"",IF(E194=1,E200-G200,IF(G194=1,G200-E200,""))))</f>
        <v/>
      </c>
      <c r="AI194" s="162">
        <f>IF(AK179&lt;1,"",IF(AK178&lt;3,"",IF(H194=1,H200-J200,IF(J194=1,J200-H200,""))))</f>
        <v>2</v>
      </c>
      <c r="AJ194" s="162" t="str">
        <f>IF(AK179&lt;1,"",IF(AK178&lt;4,"",IF(K194=1,K200-M200,IF(M194=1,M200-K200,""))))</f>
        <v/>
      </c>
      <c r="AK194" s="162" t="str">
        <f>IF(AK179&lt;1,"",IF(AK178&lt;5,"",IF(N194=1,N200-P200,IF(P194=1,P200-N200,""))))</f>
        <v/>
      </c>
      <c r="AL194" s="162" t="str">
        <f>IF(AK179&lt;1,"",IF(AK178&lt;6,"",IF(Q194=1,Q200-S200,IF(S194=1,S200-Q200,""))))</f>
        <v/>
      </c>
      <c r="AM194" s="162" t="str">
        <f>IF(AK179&lt;1,"",IF(AK178&lt;7,"",IF(T194=1,T200-V200,IF(V194=1,V200-T200,""))))</f>
        <v/>
      </c>
      <c r="AN194" s="162" t="str">
        <f>IF(AK179&lt;1,"",IF(AK178&lt;8,"",IF(W194=1,W200-Y200,IF(Y194=1,Y200-W200,""))))</f>
        <v/>
      </c>
      <c r="AO194" s="162" t="str">
        <f>IF(AK179&lt;1,"",IF(AK178&lt;9,"",IF(Z194=1,Z200-AB200,IF(AB194=1,AB200-Z200,""))))</f>
        <v/>
      </c>
      <c r="AP194" s="162" t="str">
        <f>IF(AK179&lt;1,"",IF(AK178&lt;10,"",IF(AC194=1,AC200-AE200,IF(AE194=1,AE200-AC200,""))))</f>
        <v/>
      </c>
      <c r="AQ194" s="161">
        <f>SUM(AG194:AP194)</f>
        <v>4</v>
      </c>
    </row>
    <row r="195" spans="1:51" ht="15">
      <c r="A195" s="3" t="s">
        <v>36</v>
      </c>
      <c r="B195" s="112">
        <v>15</v>
      </c>
      <c r="C195" s="113" t="s">
        <v>37</v>
      </c>
      <c r="D195" s="114">
        <v>22</v>
      </c>
      <c r="E195" s="112">
        <v>18</v>
      </c>
      <c r="F195" s="113" t="str">
        <f>IF(AK178&gt;1,"/","")</f>
        <v>/</v>
      </c>
      <c r="G195" s="114">
        <v>21</v>
      </c>
      <c r="H195" s="112">
        <v>17</v>
      </c>
      <c r="I195" s="113" t="str">
        <f>IF(AK178&gt;2,"/","")</f>
        <v>/</v>
      </c>
      <c r="J195" s="114">
        <v>16</v>
      </c>
      <c r="K195" s="112"/>
      <c r="L195" s="113" t="str">
        <f>IF(AK178&gt;3,"/","")</f>
        <v/>
      </c>
      <c r="M195" s="114"/>
      <c r="N195" s="112"/>
      <c r="O195" s="113" t="str">
        <f>IF(AK178&gt;4,"/","")</f>
        <v/>
      </c>
      <c r="P195" s="114"/>
      <c r="Q195" s="112"/>
      <c r="R195" s="113" t="str">
        <f>IF(AK178&gt;5,"/","")</f>
        <v/>
      </c>
      <c r="S195" s="114"/>
      <c r="T195" s="112"/>
      <c r="U195" s="113" t="str">
        <f>IF(AK178&gt;6,"/","")</f>
        <v/>
      </c>
      <c r="V195" s="114"/>
      <c r="W195" s="112"/>
      <c r="X195" s="113" t="str">
        <f>IF(AK178&gt;7,"/","")</f>
        <v/>
      </c>
      <c r="Y195" s="114"/>
      <c r="Z195" s="112"/>
      <c r="AA195" s="113" t="str">
        <f>IF(AK178&gt;8,"/","")</f>
        <v/>
      </c>
      <c r="AB195" s="114"/>
      <c r="AC195" s="112"/>
      <c r="AD195" s="113" t="str">
        <f>IF(AK178&gt;9,"/","")</f>
        <v/>
      </c>
      <c r="AE195" s="114"/>
      <c r="AF195" s="160" t="str">
        <f>IF(AK179&gt;1,"Team 2","")</f>
        <v>Team 2</v>
      </c>
      <c r="AG195" s="162">
        <f>IF(AK179&lt;2,"",IF(AK178&lt;1,"",IF(B194=2,B200-D200,IF(D194=2,D200-B200,""))))</f>
        <v>-2</v>
      </c>
      <c r="AH195" s="162">
        <f>IF(AK179&lt;2,"",IF(AK178&lt;2,"",IF(E194=2,E200-G200,IF(G194=2,G200-E200,""))))</f>
        <v>-6</v>
      </c>
      <c r="AI195" s="162" t="str">
        <f>IF(AK179&lt;2,"",IF(AK178&lt;3,"",IF(H194=2,H200-J200,IF(J194=2,J200-H200,""))))</f>
        <v/>
      </c>
      <c r="AJ195" s="162" t="str">
        <f>IF(AK179&lt;2,"",IF(AK178&lt;4,"",IF(K194=2,K200-M200,IF(M194=2,M200-K200,""))))</f>
        <v/>
      </c>
      <c r="AK195" s="162" t="str">
        <f>IF(AK179&lt;2,"",IF(AK178&lt;5,"",IF(N194=2,N200-P200,IF(P194=2,P200-N200,""))))</f>
        <v/>
      </c>
      <c r="AL195" s="162" t="str">
        <f>IF(AK179&lt;2,"",IF(AK178&lt;6,"",IF(Q194=2,Q200-S200,IF(S194=2,S200-Q200,""))))</f>
        <v/>
      </c>
      <c r="AM195" s="162" t="str">
        <f>IF(AK179&lt;2,"",IF(AK178&lt;7,"",IF(T194=2,T200-V200,IF(V194=2,V200-T200,""))))</f>
        <v/>
      </c>
      <c r="AN195" s="162" t="str">
        <f>IF(AK179&lt;2,"",IF(AK178&lt;8,"",IF(W194=2,W200-Y200,IF(Y194=2,Y200-W200,""))))</f>
        <v/>
      </c>
      <c r="AO195" s="162" t="str">
        <f>IF(AK179&lt;2,"",IF(AK178&lt;9,"",IF(Z194=2,Z200-AB200,IF(AB194=2,AB200-Z200,""))))</f>
        <v/>
      </c>
      <c r="AP195" s="162" t="str">
        <f>IF(AK179&lt;2,"",IF(AK178&lt;10,"",IF(AC194=2,AC200-AE200,IF(AE194=2,AE200-AC200,""))))</f>
        <v/>
      </c>
      <c r="AQ195" s="161">
        <f>SUM(AG195:AP195)</f>
        <v>-8</v>
      </c>
    </row>
    <row r="196" spans="1:51" ht="15">
      <c r="A196" s="46" t="str">
        <f>IF(AK177&gt;1,"Game 2","")</f>
        <v>Game 2</v>
      </c>
      <c r="B196" s="112">
        <v>20</v>
      </c>
      <c r="C196" s="113" t="s">
        <v>37</v>
      </c>
      <c r="D196" s="114">
        <v>11</v>
      </c>
      <c r="E196" s="112">
        <v>14</v>
      </c>
      <c r="F196" s="113" t="str">
        <f>IF(AK178&gt;1,IF(AK177&gt;1,"/",""),"")</f>
        <v>/</v>
      </c>
      <c r="G196" s="114">
        <v>17</v>
      </c>
      <c r="H196" s="112">
        <v>17</v>
      </c>
      <c r="I196" s="113" t="str">
        <f>IF(AK178&gt;2,IF(AK177&gt;1,"/",""),"")</f>
        <v>/</v>
      </c>
      <c r="J196" s="114">
        <v>16</v>
      </c>
      <c r="K196" s="112"/>
      <c r="L196" s="113" t="str">
        <f>IF(AK178&gt;3,IF(AK177&gt;1,"/",""),"")</f>
        <v/>
      </c>
      <c r="M196" s="114"/>
      <c r="N196" s="112"/>
      <c r="O196" s="113" t="str">
        <f>IF(AK178&gt;4,IF(AK177&gt;1,"/",""),"")</f>
        <v/>
      </c>
      <c r="P196" s="114"/>
      <c r="Q196" s="112"/>
      <c r="R196" s="113" t="str">
        <f>IF(AK178&gt;5,IF(AK177&gt;1,"/",""),"")</f>
        <v/>
      </c>
      <c r="S196" s="114"/>
      <c r="T196" s="112"/>
      <c r="U196" s="113" t="str">
        <f>IF(AK178&gt;6,IF(AK177&gt;1,"/",""),"")</f>
        <v/>
      </c>
      <c r="V196" s="114"/>
      <c r="W196" s="112"/>
      <c r="X196" s="113" t="str">
        <f>IF(AK178&gt;7,IF(AK177&gt;1,"/",""),"")</f>
        <v/>
      </c>
      <c r="Y196" s="114"/>
      <c r="Z196" s="112"/>
      <c r="AA196" s="113" t="str">
        <f>IF(AK178&gt;8,IF(AK177&gt;1,"/",""),"")</f>
        <v/>
      </c>
      <c r="AB196" s="114"/>
      <c r="AC196" s="112"/>
      <c r="AD196" s="113" t="str">
        <f>IF(AK178&gt;9,IF(AK177&gt;1,"/",""),"")</f>
        <v/>
      </c>
      <c r="AE196" s="114"/>
      <c r="AF196" s="160" t="str">
        <f>IF(AK179&gt;2,"Team 3","")</f>
        <v>Team 3</v>
      </c>
      <c r="AG196" s="162" t="str">
        <f>IF(AK179&lt;3,"",IF(AK178&lt;1,"",IF(B194=3,B200-D200,IF(D194=3,D200-B200,""))))</f>
        <v/>
      </c>
      <c r="AH196" s="162">
        <f>IF(AK179&lt;3,"",IF(AK178&lt;2,"",IF(E194=3,E200-G200,IF(G194=3,G200-E200,""))))</f>
        <v>6</v>
      </c>
      <c r="AI196" s="162">
        <f>IF(AK179&lt;3,"",IF(AK178&lt;3,"",IF(H194=3,H200-J200,IF(J194=3,J200-H200,""))))</f>
        <v>-2</v>
      </c>
      <c r="AJ196" s="162" t="str">
        <f>IF(AK179&lt;3,"",IF(AK178&lt;4,"",IF(K194=3,K200-M200,IF(M194=3,M200-K200,""))))</f>
        <v/>
      </c>
      <c r="AK196" s="162" t="str">
        <f>IF(AK179&lt;3,"",IF(AK178&lt;5,"",IF(N194=3,N200-P200,IF(P194=3,P200-N200,""))))</f>
        <v/>
      </c>
      <c r="AL196" s="162" t="str">
        <f>IF(AK179&lt;3,"",IF(AK178&lt;6,"",IF(Q194=3,Q200-S200,IF(S194=3,S200-Q200,""))))</f>
        <v/>
      </c>
      <c r="AM196" s="162" t="str">
        <f>IF(AK179&lt;3,"",IF(AK178&lt;7,"",IF(T194=3,T200-V200,IF(V194=3,V200-T200,""))))</f>
        <v/>
      </c>
      <c r="AN196" s="162" t="str">
        <f>IF(AK179&lt;3,"",IF(AK178&lt;8,"",IF(W194=3,W200-Y200,IF(Y194=3,Y200-W200,""))))</f>
        <v/>
      </c>
      <c r="AO196" s="162" t="str">
        <f>IF(AK179&lt;3,"",IF(AK178&lt;9,"",IF(Z194=3,Z200-AB200,IF(AB194=3,AB200-Z200,""))))</f>
        <v/>
      </c>
      <c r="AP196" s="162" t="str">
        <f>IF(AK179&lt;3,"",IF(AK178&lt;9,"",IF(AC194=3,AC200-AE200,IF(AE194=3,AE200-AC200,""))))</f>
        <v/>
      </c>
      <c r="AQ196" s="161">
        <f>SUM(AG196:AP196)</f>
        <v>4</v>
      </c>
    </row>
    <row r="197" spans="1:51" ht="15" hidden="1">
      <c r="A197" s="46" t="str">
        <f>IF(AK177&gt;2,"Game 3","")</f>
        <v/>
      </c>
      <c r="B197" s="112"/>
      <c r="C197" s="113" t="s">
        <v>37</v>
      </c>
      <c r="D197" s="114"/>
      <c r="E197" s="112"/>
      <c r="F197" s="113" t="str">
        <f>IF(AK178&gt;1,IF(AK177&gt;2,"/",""),"")</f>
        <v/>
      </c>
      <c r="G197" s="114"/>
      <c r="H197" s="112"/>
      <c r="I197" s="113" t="str">
        <f>IF(AK178&gt;2,IF(AK177&gt;2,"/",""),"")</f>
        <v/>
      </c>
      <c r="J197" s="114"/>
      <c r="K197" s="112"/>
      <c r="L197" s="113" t="str">
        <f>IF(AK178&gt;3,IF(AK177&gt;2,"/",""),"")</f>
        <v/>
      </c>
      <c r="M197" s="114"/>
      <c r="N197" s="112"/>
      <c r="O197" s="113" t="str">
        <f>IF(AK178&gt;4,IF(AK177&gt;2,"/",""),"")</f>
        <v/>
      </c>
      <c r="P197" s="114"/>
      <c r="Q197" s="112"/>
      <c r="R197" s="113" t="str">
        <f>IF(AK178&gt;5,IF(AK177&gt;2,"/",""),"")</f>
        <v/>
      </c>
      <c r="S197" s="114"/>
      <c r="T197" s="112"/>
      <c r="U197" s="113" t="str">
        <f>IF(AK178&gt;6,IF(AK177&gt;2,"/",""),"")</f>
        <v/>
      </c>
      <c r="V197" s="114"/>
      <c r="W197" s="112"/>
      <c r="X197" s="113" t="str">
        <f>IF(AK178&gt;7,IF(AK177&gt;2,"/",""),"")</f>
        <v/>
      </c>
      <c r="Y197" s="114"/>
      <c r="Z197" s="112"/>
      <c r="AA197" s="113" t="str">
        <f>IF(AK178&gt;8,IF(AK177&gt;2,"/",""),"")</f>
        <v/>
      </c>
      <c r="AB197" s="114"/>
      <c r="AC197" s="112"/>
      <c r="AD197" s="113" t="str">
        <f>IF(AK178&gt;9,IF(AK177&gt;2,"/",""),"")</f>
        <v/>
      </c>
      <c r="AE197" s="114"/>
      <c r="AF197" s="160" t="str">
        <f>IF(AK179&gt;3,"Team 4","")</f>
        <v/>
      </c>
      <c r="AG197" s="162" t="str">
        <f>IF(AK179&lt;4,"",IF(AK178&lt;1,"",IF(B194=4,B200-D200,IF(D194=4,D200-B200,""))))</f>
        <v/>
      </c>
      <c r="AH197" s="162" t="str">
        <f>IF(AK179&lt;4,"",IF(AK178&lt;2,"",IF(E194=4,E200-G200,IF(G194=4,G200-E200,""))))</f>
        <v/>
      </c>
      <c r="AI197" s="162" t="str">
        <f>IF(AK179&lt;4,"",IF(AK178&lt;3,"",IF(H194=4,H200-J200,IF(J194=4,J200-H200,""))))</f>
        <v/>
      </c>
      <c r="AJ197" s="162" t="str">
        <f>IF(AK179&lt;4,"",IF(AK178&lt;4,"",IF(K194=4,K200-M200,IF(M194=4,M200-K200,""))))</f>
        <v/>
      </c>
      <c r="AK197" s="162" t="str">
        <f>IF(AK179&lt;4,"",IF(AK178&lt;5,"",IF(N194=4,N200-P200,IF(P194=4,P200-N200,""))))</f>
        <v/>
      </c>
      <c r="AL197" s="162" t="str">
        <f>IF(AK179&lt;4,"",IF(AK178&lt;6,"",IF(Q194=4,Q200-S200,IF(S194=4,S200-Q200,""))))</f>
        <v/>
      </c>
      <c r="AM197" s="162" t="str">
        <f>IF(AK179&lt;4,"",IF(AK178&lt;7,"",IF(T194=4,T200-V200,IF(V194=4,V200-T200,""))))</f>
        <v/>
      </c>
      <c r="AN197" s="162" t="str">
        <f>IF(AK179&lt;4,"",IF(AK178&lt;8,"",IF(W194=4,W200-Y200,IF(Y194=4,Y200-W200,""))))</f>
        <v/>
      </c>
      <c r="AO197" s="162" t="str">
        <f>IF(AK179&lt;4,"",IF(AK178&lt;9,"",IF(Z194=4,Z200-AB200,IF(AB194=4,AB200-Z200,""))))</f>
        <v/>
      </c>
      <c r="AP197" s="162" t="str">
        <f>IF(AK179&lt;4,"",IF(AK178&lt;10,"",IF(AC194=4,AC200-AE200,IF(AE194=4,AE200-AC200,""))))</f>
        <v/>
      </c>
      <c r="AQ197" s="161">
        <f>SUM(AG197:AP197)</f>
        <v>0</v>
      </c>
    </row>
    <row r="198" spans="1:51" ht="15" hidden="1">
      <c r="A198" s="46" t="str">
        <f>IF(AK177&gt;3,"Game 4","")</f>
        <v/>
      </c>
      <c r="B198" s="112"/>
      <c r="C198" s="113" t="s">
        <v>37</v>
      </c>
      <c r="D198" s="114"/>
      <c r="E198" s="112"/>
      <c r="F198" s="113" t="str">
        <f>IF(AK178&gt;1,IF(AK177&gt;3,"/",""),"")</f>
        <v/>
      </c>
      <c r="G198" s="114"/>
      <c r="H198" s="112"/>
      <c r="I198" s="113" t="str">
        <f>IF(AK178&gt;2,IF(AK177&gt;3,"/",""),"")</f>
        <v/>
      </c>
      <c r="J198" s="114"/>
      <c r="K198" s="112"/>
      <c r="L198" s="113" t="str">
        <f>IF(AK178&gt;3,IF(AK177&gt;3,"/",""),"")</f>
        <v/>
      </c>
      <c r="M198" s="114"/>
      <c r="N198" s="112"/>
      <c r="O198" s="113" t="str">
        <f>IF(AK178&gt;4,IF(AK177&gt;3,"/",""),"")</f>
        <v/>
      </c>
      <c r="P198" s="114"/>
      <c r="Q198" s="112"/>
      <c r="R198" s="113" t="str">
        <f>IF(AK178&gt;5,IF(AK177&gt;3,"/",""),"")</f>
        <v/>
      </c>
      <c r="S198" s="114"/>
      <c r="T198" s="112"/>
      <c r="U198" s="113" t="str">
        <f>IF(AK178&gt;6,IF(AK177&gt;3,"/",""),"")</f>
        <v/>
      </c>
      <c r="V198" s="114"/>
      <c r="W198" s="112"/>
      <c r="X198" s="113" t="str">
        <f>IF(AK178&gt;7,IF(AK177&gt;3,"/",""),"")</f>
        <v/>
      </c>
      <c r="Y198" s="114"/>
      <c r="Z198" s="112"/>
      <c r="AA198" s="113" t="str">
        <f>IF(AK178&gt;8,IF(AK177&gt;3,"/",""),"")</f>
        <v/>
      </c>
      <c r="AB198" s="114"/>
      <c r="AC198" s="112"/>
      <c r="AD198" s="113" t="str">
        <f>IF(AK178&gt;9,IF(AK177&gt;3,"/",""),"")</f>
        <v/>
      </c>
      <c r="AE198" s="114"/>
      <c r="AF198" s="160" t="str">
        <f>IF(AK179&gt;4,"Team 5","")</f>
        <v/>
      </c>
      <c r="AG198" s="163" t="str">
        <f>IF(AK179&lt;5,"",IF(AK178&lt;1,"",IF(B194=5,B200-D200,IF(D194=5,D200-B200,""))))</f>
        <v/>
      </c>
      <c r="AH198" s="162" t="str">
        <f>IF(AK179&lt;5,"",IF(AK178&lt;2,"",IF(E194=5,E200-G200,IF(G194=5,G200-E200,""))))</f>
        <v/>
      </c>
      <c r="AI198" s="162" t="str">
        <f>IF(AK179&lt;5,"",IF(AK178&lt;3,"",IF(H194=5,H200-J200,IF(J194=5,J200-H200,""))))</f>
        <v/>
      </c>
      <c r="AJ198" s="162" t="str">
        <f>IF(AK179&lt;5,"",IF(AK178&lt;4,"",IF(K194=5,K200-M200,IF(M194=5,M200-K200,""))))</f>
        <v/>
      </c>
      <c r="AK198" s="162" t="str">
        <f>IF(AK179&lt;5,"",IF(AK178&lt;5,"",IF(N194=5,N200-P200,IF(P194=5,P200-N200,""))))</f>
        <v/>
      </c>
      <c r="AL198" s="162" t="str">
        <f>IF(AK179&lt;5,"",IF(AK178&lt;6,"",IF(Q194=5,Q200-S200,IF(S194=5,S200-Q200,""))))</f>
        <v/>
      </c>
      <c r="AM198" s="162" t="str">
        <f>IF(AK179&lt;5,"",IF(AK178&lt;7,"",IF(T194=5,T200-V200,IF(V194=5,V200-T200,""))))</f>
        <v/>
      </c>
      <c r="AN198" s="162" t="str">
        <f>IF(AK179&lt;5,"",IF(AK178&lt;8,"",IF(W194=5,W200-Y200,IF(Y194=5,Y200-W200,""))))</f>
        <v/>
      </c>
      <c r="AO198" s="162" t="str">
        <f>IF(AK179&lt;5,"",IF(AK178&lt;9,"",IF(Z194=5,Z200-AB200,IF(AB194=5,AB200-Z200,""))))</f>
        <v/>
      </c>
      <c r="AP198" s="162" t="str">
        <f>IF(AK179&lt;5,"",IF(AK178&lt;10,"",IF(AC194=5,AC200-AE200,IF(AE194=5,AE200-AC200,""))))</f>
        <v/>
      </c>
      <c r="AQ198" s="161">
        <f>SUM(AG198:AP198)</f>
        <v>0</v>
      </c>
    </row>
    <row r="199" spans="1:51" ht="15">
      <c r="A199" s="46" t="str">
        <f>IF(AK177&gt;4,"Game 5","")</f>
        <v/>
      </c>
      <c r="B199" s="112"/>
      <c r="C199" s="113" t="s">
        <v>37</v>
      </c>
      <c r="D199" s="114"/>
      <c r="E199" s="112"/>
      <c r="F199" s="113" t="str">
        <f>IF(AK178&gt;1,IF(AK177&gt;4,"/",""),"")</f>
        <v/>
      </c>
      <c r="G199" s="114"/>
      <c r="H199" s="112"/>
      <c r="I199" s="113" t="str">
        <f>IF(AK178&gt;2,IF(AK177&gt;4,"/",""),"")</f>
        <v/>
      </c>
      <c r="J199" s="114"/>
      <c r="K199" s="112"/>
      <c r="L199" s="113" t="str">
        <f>IF(AK178&gt;3,IF(AK177&gt;4,"/",""),"")</f>
        <v/>
      </c>
      <c r="M199" s="114"/>
      <c r="N199" s="112"/>
      <c r="O199" s="113" t="str">
        <f>IF(AK178&gt;4,IF(AK177&gt;4,"/",""),"")</f>
        <v/>
      </c>
      <c r="P199" s="114"/>
      <c r="Q199" s="112"/>
      <c r="R199" s="113" t="str">
        <f>IF(AK178&gt;5,IF(AK177&gt;4,"/",""),"")</f>
        <v/>
      </c>
      <c r="S199" s="114"/>
      <c r="T199" s="112"/>
      <c r="U199" s="113" t="str">
        <f>IF(AK178&gt;6,IF(AK177&gt;4,"/",""),"")</f>
        <v/>
      </c>
      <c r="V199" s="114"/>
      <c r="W199" s="112"/>
      <c r="X199" s="113" t="str">
        <f>IF(AK178&gt;7,IF(AK177&gt;4,"/",""),"")</f>
        <v/>
      </c>
      <c r="Y199" s="114"/>
      <c r="Z199" s="112"/>
      <c r="AA199" s="113" t="str">
        <f>IF(AK178&gt;8,IF(AK177&gt;4,"/",""),"")</f>
        <v/>
      </c>
      <c r="AB199" s="114"/>
      <c r="AC199" s="112"/>
      <c r="AD199" s="113" t="str">
        <f>IF(AK178&gt;9,IF(AK177&gt;4,"/",""),"")</f>
        <v/>
      </c>
      <c r="AE199" s="114"/>
      <c r="AF199" s="1"/>
      <c r="AG199" s="1"/>
      <c r="AH199" s="1"/>
      <c r="AI199" s="1"/>
      <c r="AJ199" s="1"/>
      <c r="AK199" s="1"/>
      <c r="AL199" s="1"/>
      <c r="AM199" s="1"/>
      <c r="AN199" s="1"/>
      <c r="AO199" s="1"/>
      <c r="AP199" s="1"/>
      <c r="AQ199" s="1"/>
    </row>
    <row r="200" spans="1:51" hidden="1">
      <c r="A200" s="116"/>
      <c r="B200" s="116">
        <f>IF($AK177=5,SUM(B195:B199),IF($AK177=4,SUM(B195:B198),IF($AK177=3,SUM(B195:B197),IF($AK177=2,SUM(B195:B196),B195))))</f>
        <v>35</v>
      </c>
      <c r="C200" s="116"/>
      <c r="D200" s="116">
        <f>IF($AK177=5,SUM(D195:D199),IF($AK177=4,SUM(D195:D198),IF($AK177=3,SUM(D195:D197),IF($AK177=2,SUM(D195:D196),D195))))</f>
        <v>33</v>
      </c>
      <c r="E200" s="116">
        <f>IF($AK177=5,SUM(E195:E199),IF($AK177=4,SUM(E195:E198),IF($AK177=3,SUM(E195:E197),IF($AK177=2,SUM(E195:E196),E195))))</f>
        <v>32</v>
      </c>
      <c r="F200" s="116"/>
      <c r="G200" s="116">
        <f>IF($AK177=5,SUM(G195:G199),IF($AK177=4,SUM(G195:G198),IF($AK177=3,SUM(G195:G197),IF($AK177=2,SUM(G195:G196),G195))))</f>
        <v>38</v>
      </c>
      <c r="H200" s="116">
        <f>IF($AK177=5,SUM(H195:H199),IF($AK177=4,SUM(H195:H198),IF($AK177=3,SUM(H195:H197),IF($AK177=2,SUM(H195:H196),H195))))</f>
        <v>34</v>
      </c>
      <c r="I200" s="116"/>
      <c r="J200" s="116">
        <f>IF($AK177=5,SUM(J195:J199),IF($AK177=4,SUM(J195:J198),IF($AK177=3,SUM(J195:J197),IF($AK177=2,SUM(J195:J196),J195))))</f>
        <v>32</v>
      </c>
      <c r="K200" s="116">
        <f>IF($AK177=5,SUM(K195:K199),IF($AK177=4,SUM(K195:K198),IF($AK177=3,SUM(K195:K197),IF($AK177=2,SUM(K195:K196),K195))))</f>
        <v>0</v>
      </c>
      <c r="L200" s="116"/>
      <c r="M200" s="116">
        <f>IF($AK177=5,SUM(M195:M199),IF($AK177=4,SUM(M195:M198),IF($AK177=3,SUM(M195:M197),IF($AK177=2,SUM(M195:M196),M195))))</f>
        <v>0</v>
      </c>
      <c r="N200" s="116">
        <f>IF($AK177=5,SUM(N195:N199),IF($AK177=4,SUM(N195:N198),IF($AK177=3,SUM(N195:N197),IF($AK177=2,SUM(N195:N196),N195))))</f>
        <v>0</v>
      </c>
      <c r="O200" s="116"/>
      <c r="P200" s="116">
        <f>IF($AK177=5,SUM(P195:P199),IF($AK177=4,SUM(P195:P198),IF($AK177=3,SUM(P195:P197),IF($AK177=2,SUM(P195:P196),P195))))</f>
        <v>0</v>
      </c>
      <c r="Q200" s="116">
        <f>IF($AK177=5,SUM(Q195:Q199),IF($AK177=4,SUM(Q195:Q198),IF($AK177=3,SUM(Q195:Q197),IF($AK177=2,SUM(Q195:Q196),Q195))))</f>
        <v>0</v>
      </c>
      <c r="R200" s="116"/>
      <c r="S200" s="116">
        <f>IF($AK177=5,SUM(S195:S199),IF($AK177=4,SUM(S195:S198),IF($AK177=3,SUM(S195:S197),IF($AK177=2,SUM(S195:S196),S195))))</f>
        <v>0</v>
      </c>
      <c r="T200" s="116">
        <f>IF($AK177=5,SUM(T195:T199),IF($AK177=4,SUM(T195:T198),IF($AK177=3,SUM(T195:T197),IF($AK177=2,SUM(T195:T196),T195))))</f>
        <v>0</v>
      </c>
      <c r="U200" s="116"/>
      <c r="V200" s="116">
        <f>IF($AK177=5,SUM(V195:V199),IF($AK177=4,SUM(V195:V198),IF($AK177=3,SUM(V195:V197),IF($AK177=2,SUM(V195:V196),V195))))</f>
        <v>0</v>
      </c>
      <c r="W200" s="116">
        <f>IF($AK177=5,SUM(W195:W199),IF($AK177=4,SUM(W195:W198),IF($AK177=3,SUM(W195:W197),IF($AK177=2,SUM(W195:W196),W195))))</f>
        <v>0</v>
      </c>
      <c r="X200" s="116"/>
      <c r="Y200" s="116">
        <f>IF($AK177=5,SUM(Y195:Y199),IF($AK177=4,SUM(Y195:Y198),IF($AK177=3,SUM(Y195:Y197),IF($AK177=2,SUM(Y195:Y196),Y195))))</f>
        <v>0</v>
      </c>
      <c r="Z200" s="116">
        <f>IF($AK177=5,SUM(Z195:Z199),IF($AK177=4,SUM(Z195:Z198),IF($AK177=3,SUM(Z195:Z197),IF($AK177=2,SUM(Z195:Z196),Z195))))</f>
        <v>0</v>
      </c>
      <c r="AA200" s="116"/>
      <c r="AB200" s="116">
        <f>IF($AK177=5,SUM(AB195:AB199),IF($AK177=4,SUM(AB195:AB198),IF($AK177=3,SUM(AB195:AB197),IF($AK177=2,SUM(AB195:AB196),AB195))))</f>
        <v>0</v>
      </c>
      <c r="AC200" s="116">
        <f>IF($AK177=5,SUM(AC195:AC199),IF($AK177=4,SUM(AC195:AC198),IF($AK177=3,SUM(AC195:AC197),IF($AK177=2,SUM(AC195:AC196),AC195))))</f>
        <v>0</v>
      </c>
      <c r="AD200" s="116"/>
      <c r="AE200" s="116">
        <f>IF($AK177=5,SUM(AE195:AE199),IF($AK177=4,SUM(AE195:AE198),IF($AK177=3,SUM(AE195:AE197),IF($AK177=2,SUM(AE195:AE196),AE195))))</f>
        <v>0</v>
      </c>
      <c r="AF200" s="1"/>
      <c r="AG200" s="1"/>
      <c r="AH200" s="1"/>
      <c r="AI200" s="1"/>
      <c r="AJ200" s="1"/>
      <c r="AK200" s="1"/>
      <c r="AL200" s="1"/>
      <c r="AM200" s="1"/>
      <c r="AN200" s="1"/>
      <c r="AO200" s="1"/>
      <c r="AP200" s="1"/>
      <c r="AQ200" s="1"/>
    </row>
    <row r="201" spans="1:51" s="115" customFormat="1" ht="12.75" hidden="1" customHeight="1">
      <c r="A201" s="115" t="s">
        <v>201</v>
      </c>
      <c r="B201" s="164">
        <f>IF(AND(B195&gt;D195,$AK178&gt;0,ISNUMBER(B195),ISNUMBER(D195)),1,0)</f>
        <v>0</v>
      </c>
      <c r="C201" s="164"/>
      <c r="D201" s="165">
        <f>IF(AND(D195&gt;B195,$AK178&gt;0,ISNUMBER(B195),ISNUMBER(D195)),1,0)</f>
        <v>1</v>
      </c>
      <c r="E201" s="164">
        <f>IF(AND(E195&gt;G195,$AK178&gt;1,ISNUMBER(E195),ISNUMBER(G195)),1,0)</f>
        <v>0</v>
      </c>
      <c r="F201" s="164"/>
      <c r="G201" s="165">
        <f>IF(AND(G195&gt;E195,$AK178&gt;1,ISNUMBER(E195),ISNUMBER(G195)),1,0)</f>
        <v>1</v>
      </c>
      <c r="H201" s="164">
        <f>IF(AND(H195&gt;J195,$AK178&gt;2,ISNUMBER(H195),ISNUMBER(J195)),1,0)</f>
        <v>1</v>
      </c>
      <c r="I201" s="164"/>
      <c r="J201" s="165">
        <f>IF(AND(J195&gt;H195,$AK178&gt;2,ISNUMBER(H195),ISNUMBER(J195)),1,0)</f>
        <v>0</v>
      </c>
      <c r="K201" s="164">
        <f>IF(AND(K195&gt;M195,$AK178&gt;3,ISNUMBER(K195),ISNUMBER(M195)),1,0)</f>
        <v>0</v>
      </c>
      <c r="L201" s="164"/>
      <c r="M201" s="165">
        <f>IF(AND(M195&gt;K195,$AK178&gt;3,ISNUMBER(K195),ISNUMBER(M195)),1,0)</f>
        <v>0</v>
      </c>
      <c r="N201" s="164">
        <f>IF(AND(N195&gt;P195,$AK178&gt;4,ISNUMBER(N195),ISNUMBER(P195)),1,0)</f>
        <v>0</v>
      </c>
      <c r="O201" s="164"/>
      <c r="P201" s="165">
        <f>IF(AND(P195&gt;N195,$AK178&gt;4,ISNUMBER(N195),ISNUMBER(P195)),1,0)</f>
        <v>0</v>
      </c>
      <c r="Q201" s="164">
        <f>IF(AND(Q195&gt;S195,$AK178&gt;5,ISNUMBER(Q195),ISNUMBER(S195)),1,0)</f>
        <v>0</v>
      </c>
      <c r="R201" s="164"/>
      <c r="S201" s="165">
        <f>IF(AND(S195&gt;Q195,$AK178&gt;5,ISNUMBER(Q195),ISNUMBER(S195)),1,0)</f>
        <v>0</v>
      </c>
      <c r="T201" s="164">
        <f>IF(AND(T195&gt;V195,$AK178&gt;6,ISNUMBER(T195),ISNUMBER(V195)),1,0)</f>
        <v>0</v>
      </c>
      <c r="U201" s="164"/>
      <c r="V201" s="165">
        <f>IF(AND(V195&gt;T195,$AK178&gt;6,ISNUMBER(T195),ISNUMBER(V195)),1,0)</f>
        <v>0</v>
      </c>
      <c r="W201" s="164">
        <f>IF(AND(W195&gt;Y195,$AK178&gt;7,ISNUMBER(W195),ISNUMBER(Y195)),1,0)</f>
        <v>0</v>
      </c>
      <c r="X201" s="164"/>
      <c r="Y201" s="165">
        <f>IF(AND(Y195&gt;W195,$AK178&gt;7,ISNUMBER(W195),ISNUMBER(Y195)),1,0)</f>
        <v>0</v>
      </c>
      <c r="Z201" s="164">
        <f>IF(AND(Z195&gt;AB195,$AK178&gt;8,ISNUMBER(Z195),ISNUMBER(AB195)),1,0)</f>
        <v>0</v>
      </c>
      <c r="AA201" s="164"/>
      <c r="AB201" s="165">
        <f>IF(AND(AB195&gt;Z195,$AK178&gt;8,ISNUMBER(Z195),ISNUMBER(AB195)),1,0)</f>
        <v>0</v>
      </c>
      <c r="AC201" s="164">
        <f>IF(AND(AC195&gt;AE195,$AK178&gt;9,ISNUMBER(AC195),ISNUMBER(AE195)),1,0)</f>
        <v>0</v>
      </c>
      <c r="AD201" s="164"/>
      <c r="AE201" s="165">
        <f>IF(AND(AE195&gt;AC195,$AK178&gt;9,ISNUMBER(AC195),ISNUMBER(AE195)),1,0)</f>
        <v>0</v>
      </c>
      <c r="AT201" s="513"/>
      <c r="AU201" s="513"/>
      <c r="AV201" s="513"/>
      <c r="AW201" s="514"/>
      <c r="AX201" s="513"/>
      <c r="AY201" s="513"/>
    </row>
    <row r="202" spans="1:51" s="115" customFormat="1" ht="12.75" hidden="1" customHeight="1">
      <c r="A202" s="115" t="s">
        <v>202</v>
      </c>
      <c r="B202" s="164">
        <f>IF(AND(B196&gt;D196,$AK178&gt;0,$AK177&gt;1,ISNUMBER(B196),ISNUMBER(D196)),1,0)</f>
        <v>1</v>
      </c>
      <c r="C202" s="164"/>
      <c r="D202" s="165">
        <f>IF(AND(D196&gt;B196,$AK178&gt;0,$AK177&gt;1,ISNUMBER(B196),ISNUMBER(D196)),1,0)</f>
        <v>0</v>
      </c>
      <c r="E202" s="164">
        <f>IF(AND(E196&gt;G196,$AK178&gt;1,$AK177&gt;1,ISNUMBER(E196),ISNUMBER(G196)),1,0)</f>
        <v>0</v>
      </c>
      <c r="F202" s="164"/>
      <c r="G202" s="165">
        <f>IF(AND(G196&gt;E196,$AK178&gt;1,$AK177&gt;1,ISNUMBER(E196),ISNUMBER(G196)),1,0)</f>
        <v>1</v>
      </c>
      <c r="H202" s="164">
        <f>IF(AND(H196&gt;J196,$AK178&gt;2,$AK177&gt;1,ISNUMBER(H196),ISNUMBER(J196)),1,0)</f>
        <v>1</v>
      </c>
      <c r="I202" s="164"/>
      <c r="J202" s="165">
        <f>IF(AND(J196&gt;H196,$AK178&gt;2,$AK177&gt;1,ISNUMBER(H196),ISNUMBER(J196)),1,0)</f>
        <v>0</v>
      </c>
      <c r="K202" s="164">
        <f>IF(AND(K196&gt;M196,$AK178&gt;3,$AK177&gt;1,ISNUMBER(K196),ISNUMBER(M196)),1,0)</f>
        <v>0</v>
      </c>
      <c r="L202" s="164"/>
      <c r="M202" s="165">
        <f>IF(AND(M196&gt;K196,$AK178&gt;3,$AK177&gt;1,ISNUMBER(K196),ISNUMBER(M196)),1,0)</f>
        <v>0</v>
      </c>
      <c r="N202" s="164">
        <f>IF(AND(N196&gt;P196,$AK178&gt;4,$AK177&gt;1,ISNUMBER(N196),ISNUMBER(P196)),1,0)</f>
        <v>0</v>
      </c>
      <c r="O202" s="164"/>
      <c r="P202" s="165">
        <f>IF(AND(P196&gt;N196,$AK178&gt;4,$AK177&gt;1,ISNUMBER(N196),ISNUMBER(P196)),1,0)</f>
        <v>0</v>
      </c>
      <c r="Q202" s="164">
        <f>IF(AND(Q196&gt;S196,$AK178&gt;5,$AK177&gt;1,ISNUMBER(Q196),ISNUMBER(S196)),1,0)</f>
        <v>0</v>
      </c>
      <c r="R202" s="164"/>
      <c r="S202" s="165">
        <f>IF(AND(S196&gt;Q196,$AK178&gt;5,$AK177&gt;1,ISNUMBER(Q196),ISNUMBER(S196)),1,0)</f>
        <v>0</v>
      </c>
      <c r="T202" s="164">
        <f>IF(AND(T196&gt;V196,$AK178&gt;6,$AK177&gt;1,ISNUMBER(T196),ISNUMBER(V196)),1,0)</f>
        <v>0</v>
      </c>
      <c r="U202" s="164"/>
      <c r="V202" s="165">
        <f>IF(AND(V196&gt;T196,$AK178&gt;6,$AK177&gt;1,ISNUMBER(T196),ISNUMBER(V196)),1,0)</f>
        <v>0</v>
      </c>
      <c r="W202" s="164">
        <f>IF(AND(W196&gt;Y196,$AK178&gt;7,$AK177&gt;1,ISNUMBER(W196),ISNUMBER(Y196)),1,0)</f>
        <v>0</v>
      </c>
      <c r="X202" s="164"/>
      <c r="Y202" s="165">
        <f>IF(AND(Y196&gt;W196,$AK178&gt;7,$AK177&gt;1,ISNUMBER(W196),ISNUMBER(Y196)),1,0)</f>
        <v>0</v>
      </c>
      <c r="Z202" s="164">
        <f>IF(AND(Z196&gt;AB196,$AK178&gt;8,$AK177&gt;1,ISNUMBER(Z196),ISNUMBER(AB196)),1,0)</f>
        <v>0</v>
      </c>
      <c r="AA202" s="164"/>
      <c r="AB202" s="165">
        <f>IF(AND(AB196&gt;Z196,$AK178&gt;8,$AK177&gt;1,ISNUMBER(Z196),ISNUMBER(AB196)),1,0)</f>
        <v>0</v>
      </c>
      <c r="AC202" s="164">
        <f>IF(AND(AC196&gt;AE196,$AK178&gt;9,$AK177&gt;1,ISNUMBER(AC196),ISNUMBER(AE196)),1,0)</f>
        <v>0</v>
      </c>
      <c r="AD202" s="164"/>
      <c r="AE202" s="165">
        <f>IF(AND(AE196&gt;AC196,$AK178&gt;9,$AK177&gt;1,ISNUMBER(AC196),ISNUMBER(AE196)),1,0)</f>
        <v>0</v>
      </c>
      <c r="AT202" s="513"/>
      <c r="AU202" s="513"/>
      <c r="AV202" s="513"/>
      <c r="AW202" s="514"/>
      <c r="AX202" s="513"/>
      <c r="AY202" s="513"/>
    </row>
    <row r="203" spans="1:51" s="115" customFormat="1" ht="12.75" hidden="1" customHeight="1">
      <c r="A203" s="115" t="s">
        <v>203</v>
      </c>
      <c r="B203" s="164">
        <f>IF(AND(B197&gt;D197,$AK178&gt;0,$AK177&gt;2,ISNUMBER(B197),ISNUMBER(D197)),1,0)</f>
        <v>0</v>
      </c>
      <c r="C203" s="164"/>
      <c r="D203" s="165">
        <f>IF(AND(D197&gt;B197,$AK178&gt;0,$AK177&gt;2,ISNUMBER(B197),ISNUMBER(D197)),1,0)</f>
        <v>0</v>
      </c>
      <c r="E203" s="164">
        <f>IF(AND(E197&gt;G197,$AK178&gt;1,$AK177&gt;2,ISNUMBER(E197),ISNUMBER(G197)),1,0)</f>
        <v>0</v>
      </c>
      <c r="F203" s="164"/>
      <c r="G203" s="165">
        <f>IF(AND(G197&gt;E197,$AK178&gt;1,$AK177&gt;2,ISNUMBER(E197),ISNUMBER(G197)),1,0)</f>
        <v>0</v>
      </c>
      <c r="H203" s="164">
        <f>IF(AND(H197&gt;J197,$AK178&gt;2,$AK177&gt;2,ISNUMBER(H197),ISNUMBER(J197)),1,0)</f>
        <v>0</v>
      </c>
      <c r="I203" s="164"/>
      <c r="J203" s="165">
        <f>IF(AND(J197&gt;H197,$AK178&gt;2,$AK177&gt;2,ISNUMBER(H197),ISNUMBER(J197)),1,0)</f>
        <v>0</v>
      </c>
      <c r="K203" s="164">
        <f>IF(AND(K197&gt;M197,$AK178&gt;3,$AK177&gt;2,ISNUMBER(K197),ISNUMBER(M197)),1,0)</f>
        <v>0</v>
      </c>
      <c r="L203" s="164"/>
      <c r="M203" s="165">
        <f>IF(AND(M197&gt;K197,$AK178&gt;3,$AK177&gt;2,ISNUMBER(K197),ISNUMBER(M197)),1,0)</f>
        <v>0</v>
      </c>
      <c r="N203" s="164">
        <f>IF(AND(N197&gt;P197,$AK178&gt;4,$AK177&gt;2,ISNUMBER(N197),ISNUMBER(P197)),1,0)</f>
        <v>0</v>
      </c>
      <c r="O203" s="164"/>
      <c r="P203" s="165">
        <f>IF(AND(P197&gt;N197,$AK178&gt;4,$AK177&gt;2,ISNUMBER(N197),ISNUMBER(P197)),1,0)</f>
        <v>0</v>
      </c>
      <c r="Q203" s="164">
        <f>IF(AND(Q197&gt;S197,$AK178&gt;5,$AK177&gt;2,ISNUMBER(Q197),ISNUMBER(S197)),1,0)</f>
        <v>0</v>
      </c>
      <c r="R203" s="164"/>
      <c r="S203" s="165">
        <f>IF(AND(S197&gt;Q197,$AK178&gt;5,$AK177&gt;2,ISNUMBER(Q197),ISNUMBER(S197)),1,0)</f>
        <v>0</v>
      </c>
      <c r="T203" s="164">
        <f>IF(AND(T197&gt;V197,$AK178&gt;6,$AK177&gt;2,ISNUMBER(T197),ISNUMBER(V197)),1,0)</f>
        <v>0</v>
      </c>
      <c r="U203" s="164"/>
      <c r="V203" s="165">
        <f>IF(AND(V197&gt;T197,$AK178&gt;6,$AK177&gt;2,ISNUMBER(T197),ISNUMBER(V197)),1,0)</f>
        <v>0</v>
      </c>
      <c r="W203" s="164">
        <f>IF(AND(W197&gt;Y197,$AK178&gt;7,$AK177&gt;2,ISNUMBER(W197),ISNUMBER(Y197)),1,0)</f>
        <v>0</v>
      </c>
      <c r="X203" s="164"/>
      <c r="Y203" s="165">
        <f>IF(AND(Y197&gt;W197,$AK178&gt;7,$AK177&gt;2,ISNUMBER(W197),ISNUMBER(Y197)),1,0)</f>
        <v>0</v>
      </c>
      <c r="Z203" s="164">
        <f>IF(AND(Z197&gt;AB197,$AK178&gt;8,$AK177&gt;2,ISNUMBER(Z197),ISNUMBER(AB197)),1,0)</f>
        <v>0</v>
      </c>
      <c r="AA203" s="164"/>
      <c r="AB203" s="165">
        <f>IF(AND(AB197&gt;Z197,$AK178&gt;8,$AK177&gt;2,ISNUMBER(Z197),ISNUMBER(AB197)),1,0)</f>
        <v>0</v>
      </c>
      <c r="AC203" s="164">
        <f>IF(AND(AC197&gt;AE197,$AK178&gt;9,$AK177&gt;2,ISNUMBER(AC197),ISNUMBER(AE197)),1,0)</f>
        <v>0</v>
      </c>
      <c r="AD203" s="164"/>
      <c r="AE203" s="165">
        <f>IF(AND(AE197&gt;AC197,$AK178&gt;9,$AK177&gt;2,ISNUMBER(AC197),ISNUMBER(AE197)),1,0)</f>
        <v>0</v>
      </c>
      <c r="AT203" s="513"/>
      <c r="AU203" s="513"/>
      <c r="AV203" s="513"/>
      <c r="AW203" s="514"/>
      <c r="AX203" s="513"/>
      <c r="AY203" s="513"/>
    </row>
    <row r="204" spans="1:51" s="115" customFormat="1" ht="12.75" hidden="1" customHeight="1">
      <c r="A204" s="115" t="s">
        <v>204</v>
      </c>
      <c r="B204" s="164">
        <f>IF(AND(B198&gt;D198,$AK178&gt;0,$AK177&gt;3,ISNUMBER(B198),ISNUMBER(D198)),1,0)</f>
        <v>0</v>
      </c>
      <c r="C204" s="164"/>
      <c r="D204" s="165">
        <f>IF(AND(D198&gt;B198,$AK178&gt;0,$AK177&gt;3,ISNUMBER(B198),ISNUMBER(D198)),1,0)</f>
        <v>0</v>
      </c>
      <c r="E204" s="164">
        <f>IF(AND(E198&gt;G198,$AK178&gt;1,$AK177&gt;3,ISNUMBER(E198),ISNUMBER(G198)),1,0)</f>
        <v>0</v>
      </c>
      <c r="F204" s="164"/>
      <c r="G204" s="165">
        <f>IF(AND(G198&gt;E198,$AK178&gt;1,$AK177&gt;3,ISNUMBER(E198),ISNUMBER(G198)),1,0)</f>
        <v>0</v>
      </c>
      <c r="H204" s="164">
        <f>IF(AND(H198&gt;J198,$AK178&gt;2,$AK177&gt;3,ISNUMBER(H198),ISNUMBER(J198)),1,0)</f>
        <v>0</v>
      </c>
      <c r="I204" s="164"/>
      <c r="J204" s="165">
        <f>IF(AND(J198&gt;H198,$AK178&gt;2,$AK177&gt;3,ISNUMBER(H198),ISNUMBER(J198)),1,0)</f>
        <v>0</v>
      </c>
      <c r="K204" s="164">
        <f>IF(AND(K198&gt;M198,$AK178&gt;3,$AK177&gt;3,ISNUMBER(K198),ISNUMBER(M198)),1,0)</f>
        <v>0</v>
      </c>
      <c r="L204" s="164"/>
      <c r="M204" s="165">
        <f>IF(AND(M198&gt;K198,$AK178&gt;3,$AK177&gt;3,ISNUMBER(K198),ISNUMBER(M198)),1,0)</f>
        <v>0</v>
      </c>
      <c r="N204" s="164">
        <f>IF(AND(N198&gt;P198,$AK178&gt;4,$AK177&gt;3,ISNUMBER(N198),ISNUMBER(P198)),1,0)</f>
        <v>0</v>
      </c>
      <c r="O204" s="164"/>
      <c r="P204" s="165">
        <f>IF(AND(P198&gt;N198,$AK178&gt;4,$AK177&gt;3,ISNUMBER(N198),ISNUMBER(P198)),1,0)</f>
        <v>0</v>
      </c>
      <c r="Q204" s="164">
        <f>IF(AND(Q198&gt;S198,$AK178&gt;5,$AK177&gt;3,ISNUMBER(Q198),ISNUMBER(S198)),1,0)</f>
        <v>0</v>
      </c>
      <c r="R204" s="164"/>
      <c r="S204" s="165">
        <f>IF(AND(S198&gt;Q198,$AK178&gt;5,$AK177&gt;3,ISNUMBER(Q198),ISNUMBER(S198)),1,0)</f>
        <v>0</v>
      </c>
      <c r="T204" s="164">
        <f>IF(AND(T198&gt;V198,$AK178&gt;6,$AK177&gt;3,ISNUMBER(T198),ISNUMBER(V198)),1,0)</f>
        <v>0</v>
      </c>
      <c r="U204" s="164"/>
      <c r="V204" s="165">
        <f>IF(AND(V198&gt;T198,$AK178&gt;6,$AK177&gt;3,ISNUMBER(T198),ISNUMBER(V198)),1,0)</f>
        <v>0</v>
      </c>
      <c r="W204" s="164">
        <f>IF(AND(W198&gt;Y198,$AK178&gt;7,$AK177&gt;3,ISNUMBER(W198),ISNUMBER(Y198)),1,0)</f>
        <v>0</v>
      </c>
      <c r="X204" s="164"/>
      <c r="Y204" s="165">
        <f>IF(AND(Y198&gt;W198,$AK178&gt;7,$AK177&gt;3,ISNUMBER(W198),ISNUMBER(Y198)),1,0)</f>
        <v>0</v>
      </c>
      <c r="Z204" s="164">
        <f>IF(AND(Z198&gt;AB198,$AK178&gt;8,$AK177&gt;3,ISNUMBER(Z198),ISNUMBER(AB198)),1,0)</f>
        <v>0</v>
      </c>
      <c r="AA204" s="164"/>
      <c r="AB204" s="165">
        <f>IF(AND(AB198&gt;Z198,$AK178&gt;8,$AK177&gt;3,ISNUMBER(Z198),ISNUMBER(AB198)),1,0)</f>
        <v>0</v>
      </c>
      <c r="AC204" s="164">
        <f>IF(AND(AC198&gt;AE198,$AK178&gt;9,$AK177&gt;3,ISNUMBER(AC198),ISNUMBER(AE198)),1,0)</f>
        <v>0</v>
      </c>
      <c r="AD204" s="164"/>
      <c r="AE204" s="165">
        <f>IF(AND(AE198&gt;AC198,$AK178&gt;9,$AK177&gt;3,ISNUMBER(AC198),ISNUMBER(AE198)),1,0)</f>
        <v>0</v>
      </c>
      <c r="AT204" s="513"/>
      <c r="AU204" s="513"/>
      <c r="AV204" s="513"/>
      <c r="AW204" s="514"/>
      <c r="AX204" s="513"/>
      <c r="AY204" s="513"/>
    </row>
    <row r="205" spans="1:51" s="115" customFormat="1" ht="12.75" hidden="1" customHeight="1">
      <c r="A205" s="115" t="s">
        <v>205</v>
      </c>
      <c r="B205" s="164">
        <f>IF(AND(B199&gt;D199,$AK178&gt;0,$AK177&gt;4,ISNUMBER(B199),ISNUMBER(D199)),1,0)</f>
        <v>0</v>
      </c>
      <c r="C205" s="164"/>
      <c r="D205" s="165">
        <f>IF(AND(D199&gt;B199,$AK178&gt;0,$AK177&gt;4,ISNUMBER(B199),ISNUMBER(D199)),1,0)</f>
        <v>0</v>
      </c>
      <c r="E205" s="164">
        <f>IF(AND(E199&gt;G199,$AK178&gt;1,$AK177&gt;4,ISNUMBER(E199),ISNUMBER(G199)),1,0)</f>
        <v>0</v>
      </c>
      <c r="F205" s="164"/>
      <c r="G205" s="165">
        <f>IF(AND(G199&gt;E199,$AK178&gt;1,$AK177&gt;4,ISNUMBER(E199),ISNUMBER(G199)),1,0)</f>
        <v>0</v>
      </c>
      <c r="H205" s="164">
        <f>IF(AND(H199&gt;J199,$AK178&gt;2,$AK177&gt;4,ISNUMBER(H199),ISNUMBER(J199)),1,0)</f>
        <v>0</v>
      </c>
      <c r="I205" s="164"/>
      <c r="J205" s="165">
        <f>IF(AND(J199&gt;H199,$AK178&gt;2,$AK177&gt;4,ISNUMBER(H199),ISNUMBER(J199)),1,0)</f>
        <v>0</v>
      </c>
      <c r="K205" s="164">
        <f>IF(AND(K199&gt;M199,$AK178&gt;3,$AK177&gt;4,ISNUMBER(K199),ISNUMBER(M199)),1,0)</f>
        <v>0</v>
      </c>
      <c r="L205" s="164"/>
      <c r="M205" s="165">
        <f>IF(AND(M199&gt;K199,$AK178&gt;3,$AK177&gt;4,ISNUMBER(K199),ISNUMBER(M199)),1,0)</f>
        <v>0</v>
      </c>
      <c r="N205" s="164">
        <f>IF(AND(N199&gt;P199,$AK178&gt;4,$AK177&gt;4,ISNUMBER(N199),ISNUMBER(P199)),1,0)</f>
        <v>0</v>
      </c>
      <c r="O205" s="164"/>
      <c r="P205" s="165">
        <f>IF(AND(P199&gt;N199,$AK178&gt;4,$AK177&gt;4,ISNUMBER(N199),ISNUMBER(P199)),1,0)</f>
        <v>0</v>
      </c>
      <c r="Q205" s="164">
        <f>IF(AND(Q199&gt;S199,$AK178&gt;5,$AK177&gt;4,ISNUMBER(Q199),ISNUMBER(S199)),1,0)</f>
        <v>0</v>
      </c>
      <c r="R205" s="164"/>
      <c r="S205" s="165">
        <f>IF(AND(S199&gt;Q199,$AK178&gt;5,$AK177&gt;4,ISNUMBER(Q199),ISNUMBER(S199)),1,0)</f>
        <v>0</v>
      </c>
      <c r="T205" s="164">
        <f>IF(AND(T199&gt;V199,$AK178&gt;6,$AK177&gt;4,ISNUMBER(T199),ISNUMBER(V199)),1,0)</f>
        <v>0</v>
      </c>
      <c r="U205" s="164"/>
      <c r="V205" s="165">
        <f>IF(AND(V199&gt;T199,$AK178&gt;6,$AK177&gt;4,ISNUMBER(T199),ISNUMBER(V199)),1,0)</f>
        <v>0</v>
      </c>
      <c r="W205" s="164">
        <f>IF(AND(W199&gt;Y199,$AK178&gt;7,$AK177&gt;4,ISNUMBER(W199),ISNUMBER(Y199)),1,0)</f>
        <v>0</v>
      </c>
      <c r="X205" s="164"/>
      <c r="Y205" s="165">
        <f>IF(AND(Y199&gt;W199,$AK178&gt;7,$AK177&gt;4,ISNUMBER(W199),ISNUMBER(Y199)),1,0)</f>
        <v>0</v>
      </c>
      <c r="Z205" s="164">
        <f>IF(AND(Z199&gt;AB199,$AK178&gt;8,$AK177&gt;4,ISNUMBER(Z199),ISNUMBER(AB199)),1,0)</f>
        <v>0</v>
      </c>
      <c r="AA205" s="164"/>
      <c r="AB205" s="165">
        <f>IF(AND(AB199&gt;Z199,$AK178&gt;8,$AK177&gt;4,ISNUMBER(Z199),ISNUMBER(AB199)),1,0)</f>
        <v>0</v>
      </c>
      <c r="AC205" s="164">
        <f>IF(AND(AC199&gt;AE199,$AK178&gt;9,$AK177&gt;4,ISNUMBER(AC199),ISNUMBER(AE199)),1,0)</f>
        <v>0</v>
      </c>
      <c r="AD205" s="164"/>
      <c r="AE205" s="165">
        <f>IF(AND(AE199&gt;AC199,$AK178&gt;9,$AK177&gt;4,ISNUMBER(AC199),ISNUMBER(AE199)),1,0)</f>
        <v>0</v>
      </c>
      <c r="AT205" s="513"/>
      <c r="AU205" s="513"/>
      <c r="AV205" s="513"/>
      <c r="AW205" s="514"/>
      <c r="AX205" s="513"/>
      <c r="AY205" s="513"/>
    </row>
    <row r="206" spans="1:51" s="115" customFormat="1" ht="38.25" hidden="1" customHeight="1">
      <c r="A206" s="167" t="s">
        <v>206</v>
      </c>
      <c r="B206" s="115">
        <f>SUM(B201:B205)</f>
        <v>1</v>
      </c>
      <c r="D206" s="168">
        <f>SUM(D201:D205)</f>
        <v>1</v>
      </c>
      <c r="E206" s="115">
        <f>SUM(E201:E205)</f>
        <v>0</v>
      </c>
      <c r="G206" s="168">
        <f>SUM(G201:G205)</f>
        <v>2</v>
      </c>
      <c r="H206" s="115">
        <f>SUM(H201:H205)</f>
        <v>2</v>
      </c>
      <c r="J206" s="168">
        <f>SUM(J201:J205)</f>
        <v>0</v>
      </c>
      <c r="K206" s="115">
        <f>SUM(K201:K205)</f>
        <v>0</v>
      </c>
      <c r="M206" s="168">
        <f>SUM(M201:M205)</f>
        <v>0</v>
      </c>
      <c r="N206" s="115">
        <f>SUM(N201:N205)</f>
        <v>0</v>
      </c>
      <c r="P206" s="168">
        <f>SUM(P201:P205)</f>
        <v>0</v>
      </c>
      <c r="Q206" s="115">
        <f>SUM(Q201:Q205)</f>
        <v>0</v>
      </c>
      <c r="S206" s="168">
        <f>SUM(S201:S205)</f>
        <v>0</v>
      </c>
      <c r="T206" s="115">
        <f>SUM(T201:T205)</f>
        <v>0</v>
      </c>
      <c r="V206" s="168">
        <f>SUM(V201:V205)</f>
        <v>0</v>
      </c>
      <c r="W206" s="115">
        <f>SUM(W201:W205)</f>
        <v>0</v>
      </c>
      <c r="Y206" s="168">
        <f>SUM(Y201:Y205)</f>
        <v>0</v>
      </c>
      <c r="Z206" s="115">
        <f>SUM(Z201:Z205)</f>
        <v>0</v>
      </c>
      <c r="AB206" s="168">
        <f>SUM(AB201:AB205)</f>
        <v>0</v>
      </c>
      <c r="AC206" s="115">
        <f>SUM(AC201:AC205)</f>
        <v>0</v>
      </c>
      <c r="AE206" s="168">
        <f>SUM(AE201:AE205)</f>
        <v>0</v>
      </c>
      <c r="AT206" s="513"/>
      <c r="AU206" s="513"/>
      <c r="AV206" s="513"/>
      <c r="AW206" s="514"/>
      <c r="AX206" s="513"/>
      <c r="AY206" s="513"/>
    </row>
    <row r="207" spans="1:51" s="115" customFormat="1" ht="25.5" hidden="1" customHeight="1">
      <c r="A207" s="167" t="s">
        <v>207</v>
      </c>
      <c r="B207" s="115">
        <f>IF(B206&gt;D206,IF(C241=AK177,1,IF(C241=AK177-1,1,0)),0)</f>
        <v>0</v>
      </c>
      <c r="C207" s="115">
        <f>B207+D207</f>
        <v>0</v>
      </c>
      <c r="D207" s="168">
        <f>IF(D206&gt;B206,IF(C241=AK177,1,IF(C241=AK177-1,1,0)),0)</f>
        <v>0</v>
      </c>
      <c r="E207" s="115">
        <f>IF(E206&gt;G206,IF(F241=AK177,1,IF(F241=AK177-1,1,0)),0)</f>
        <v>0</v>
      </c>
      <c r="F207" s="115">
        <f>E207+G207</f>
        <v>1</v>
      </c>
      <c r="G207" s="168">
        <f>IF(G206&gt;E206,IF(F241=AK177,1,IF(F241=AK177-1,1,0)),0)</f>
        <v>1</v>
      </c>
      <c r="H207" s="115">
        <f>IF(H206&gt;J206,IF(I241=AK177,1,IF(I241=AK177-1,1,0)),0)</f>
        <v>1</v>
      </c>
      <c r="I207" s="115">
        <f>H207+J207</f>
        <v>1</v>
      </c>
      <c r="J207" s="168">
        <f>IF(J206&gt;H206,IF(I241=AK177,1,IF(I241=AK177-1,1,0)),0)</f>
        <v>0</v>
      </c>
      <c r="K207" s="115">
        <f>IF(K206&gt;M206,IF(L241=AK177,1,IF(L241=AK177-1,1,0)),0)</f>
        <v>0</v>
      </c>
      <c r="L207" s="115">
        <f>K207+M207</f>
        <v>0</v>
      </c>
      <c r="M207" s="168">
        <f>IF(M206&gt;K206,IF(L241=AK177,1,IF(L241=AK177-1,1,0)),0)</f>
        <v>0</v>
      </c>
      <c r="N207" s="115">
        <f>IF(N206&gt;P206,IF(O241=AK177,1,IF(O241=AK177-1,1,0)),0)</f>
        <v>0</v>
      </c>
      <c r="O207" s="115">
        <f>N207+P207</f>
        <v>0</v>
      </c>
      <c r="P207" s="168">
        <f>IF(P206&gt;N206,IF(O241=AK177,1,IF(O241=AK177-1,1,0)),0)</f>
        <v>0</v>
      </c>
      <c r="Q207" s="115">
        <f>IF(Q206&gt;S206,IF(R241=AK177,1,IF(R241=AK177-1,1,0)),0)</f>
        <v>0</v>
      </c>
      <c r="R207" s="115">
        <f>Q207+S207</f>
        <v>0</v>
      </c>
      <c r="S207" s="168">
        <f>IF(S206&gt;Q206,IF(R241=AK177,1,IF(R241=AK177-1,1,0)),0)</f>
        <v>0</v>
      </c>
      <c r="T207" s="115">
        <f>IF(T206&gt;V206,IF(U241=AK177,1,IF(U241=AK177-1,1,0)),0)</f>
        <v>0</v>
      </c>
      <c r="U207" s="115">
        <f>T207+V207</f>
        <v>0</v>
      </c>
      <c r="V207" s="168">
        <f>IF(V206&gt;T206,IF(U241=AK177,1,IF(U241=AK177-1,1,0)),0)</f>
        <v>0</v>
      </c>
      <c r="W207" s="115">
        <f>IF(W206&gt;Y206,IF(X241=AK177,1,IF(X241=AK177-1,1,0)),0)</f>
        <v>0</v>
      </c>
      <c r="X207" s="115">
        <f>W207+Y207</f>
        <v>0</v>
      </c>
      <c r="Y207" s="168">
        <f>IF(Y206&gt;W206,IF(X241=AK177,1,IF(X241=AK177-1,1,0)),0)</f>
        <v>0</v>
      </c>
      <c r="Z207" s="115">
        <f>IF(Z206&gt;AB206,IF(AA241=AK177,1,IF(AA241=AK177-1,1,0)),0)</f>
        <v>0</v>
      </c>
      <c r="AA207" s="115">
        <f>Z207+AB207</f>
        <v>0</v>
      </c>
      <c r="AB207" s="168">
        <f>IF(AB206&gt;Z206,IF(AA241=AK177,1,IF(AA241=AK177-1,1,0)),0)</f>
        <v>0</v>
      </c>
      <c r="AC207" s="115">
        <f>IF(AC206&gt;AE206,IF(AD241=AK177,1,IF(AD241=AK177-1,1,0)),0)</f>
        <v>0</v>
      </c>
      <c r="AD207" s="115">
        <f>AC207+AE207</f>
        <v>0</v>
      </c>
      <c r="AE207" s="168">
        <f>IF(AE206&gt;AC206,IF(AD241=AK177,1,IF(AD241=AK177-1,1,0)),0)</f>
        <v>0</v>
      </c>
      <c r="AT207" s="513"/>
      <c r="AU207" s="513"/>
      <c r="AV207" s="513"/>
      <c r="AW207" s="514"/>
      <c r="AX207" s="513"/>
      <c r="AY207" s="513"/>
    </row>
    <row r="208" spans="1:51" s="115" customFormat="1" ht="25.5" hidden="1" customHeight="1">
      <c r="A208" s="167"/>
      <c r="D208" s="168"/>
      <c r="G208" s="168"/>
      <c r="J208" s="168"/>
      <c r="M208" s="168"/>
      <c r="P208" s="168"/>
      <c r="S208" s="168"/>
      <c r="V208" s="168"/>
      <c r="Y208" s="168"/>
      <c r="AB208" s="168"/>
      <c r="AE208" s="168"/>
      <c r="AT208" s="513"/>
      <c r="AU208" s="513"/>
      <c r="AV208" s="513"/>
      <c r="AW208" s="514"/>
      <c r="AX208" s="513"/>
      <c r="AY208" s="513"/>
    </row>
    <row r="209" spans="1:51" s="115" customFormat="1" ht="12.75" hidden="1" customHeight="1">
      <c r="A209" s="115" t="s">
        <v>208</v>
      </c>
      <c r="B209" s="115">
        <f>IF(B201=1,B195,0)</f>
        <v>0</v>
      </c>
      <c r="D209" s="168">
        <f t="shared" ref="D209:E213" si="20">IF(D201=1,D195,0)</f>
        <v>22</v>
      </c>
      <c r="E209" s="115">
        <f t="shared" si="20"/>
        <v>0</v>
      </c>
      <c r="G209" s="168">
        <f t="shared" ref="G209:H213" si="21">IF(G201=1,G195,0)</f>
        <v>21</v>
      </c>
      <c r="H209" s="115">
        <f t="shared" si="21"/>
        <v>17</v>
      </c>
      <c r="J209" s="168">
        <f t="shared" ref="J209:K213" si="22">IF(J201=1,J195,0)</f>
        <v>0</v>
      </c>
      <c r="K209" s="115">
        <f t="shared" si="22"/>
        <v>0</v>
      </c>
      <c r="M209" s="168">
        <f t="shared" ref="M209:N213" si="23">IF(M201=1,M195,0)</f>
        <v>0</v>
      </c>
      <c r="N209" s="115">
        <f t="shared" si="23"/>
        <v>0</v>
      </c>
      <c r="P209" s="168">
        <f t="shared" ref="P209:Q213" si="24">IF(P201=1,P195,0)</f>
        <v>0</v>
      </c>
      <c r="Q209" s="115">
        <f t="shared" si="24"/>
        <v>0</v>
      </c>
      <c r="S209" s="168">
        <f t="shared" ref="S209:T213" si="25">IF(S201=1,S195,0)</f>
        <v>0</v>
      </c>
      <c r="T209" s="115">
        <f t="shared" si="25"/>
        <v>0</v>
      </c>
      <c r="V209" s="168">
        <f t="shared" ref="V209:W213" si="26">IF(V201=1,V195,0)</f>
        <v>0</v>
      </c>
      <c r="W209" s="115">
        <f t="shared" si="26"/>
        <v>0</v>
      </c>
      <c r="Y209" s="168">
        <f t="shared" ref="Y209:Z213" si="27">IF(Y201=1,Y195,0)</f>
        <v>0</v>
      </c>
      <c r="Z209" s="115">
        <f t="shared" si="27"/>
        <v>0</v>
      </c>
      <c r="AB209" s="168">
        <f t="shared" ref="AB209:AC213" si="28">IF(AB201=1,AB195,0)</f>
        <v>0</v>
      </c>
      <c r="AC209" s="115">
        <f t="shared" si="28"/>
        <v>0</v>
      </c>
      <c r="AE209" s="168">
        <f>IF(AE201=1,AE195,0)</f>
        <v>0</v>
      </c>
      <c r="AT209" s="513"/>
      <c r="AU209" s="513"/>
      <c r="AV209" s="513"/>
      <c r="AW209" s="514"/>
      <c r="AX209" s="513"/>
      <c r="AY209" s="513"/>
    </row>
    <row r="210" spans="1:51" s="115" customFormat="1" ht="12.75" hidden="1" customHeight="1">
      <c r="A210" s="115" t="s">
        <v>209</v>
      </c>
      <c r="B210" s="115">
        <f>IF(B202=1,B196,0)</f>
        <v>20</v>
      </c>
      <c r="D210" s="168">
        <f t="shared" si="20"/>
        <v>0</v>
      </c>
      <c r="E210" s="115">
        <f t="shared" si="20"/>
        <v>0</v>
      </c>
      <c r="G210" s="168">
        <f t="shared" si="21"/>
        <v>17</v>
      </c>
      <c r="H210" s="115">
        <f t="shared" si="21"/>
        <v>17</v>
      </c>
      <c r="J210" s="168">
        <f t="shared" si="22"/>
        <v>0</v>
      </c>
      <c r="K210" s="115">
        <f t="shared" si="22"/>
        <v>0</v>
      </c>
      <c r="M210" s="168">
        <f t="shared" si="23"/>
        <v>0</v>
      </c>
      <c r="N210" s="115">
        <f t="shared" si="23"/>
        <v>0</v>
      </c>
      <c r="P210" s="168">
        <f t="shared" si="24"/>
        <v>0</v>
      </c>
      <c r="Q210" s="115">
        <f t="shared" si="24"/>
        <v>0</v>
      </c>
      <c r="S210" s="168">
        <f t="shared" si="25"/>
        <v>0</v>
      </c>
      <c r="T210" s="115">
        <f t="shared" si="25"/>
        <v>0</v>
      </c>
      <c r="V210" s="168">
        <f t="shared" si="26"/>
        <v>0</v>
      </c>
      <c r="W210" s="115">
        <f t="shared" si="26"/>
        <v>0</v>
      </c>
      <c r="Y210" s="168">
        <f t="shared" si="27"/>
        <v>0</v>
      </c>
      <c r="Z210" s="115">
        <f t="shared" si="27"/>
        <v>0</v>
      </c>
      <c r="AB210" s="168">
        <f t="shared" si="28"/>
        <v>0</v>
      </c>
      <c r="AC210" s="115">
        <f t="shared" si="28"/>
        <v>0</v>
      </c>
      <c r="AE210" s="168">
        <f>IF(AE202=1,AE196,0)</f>
        <v>0</v>
      </c>
      <c r="AT210" s="513"/>
      <c r="AU210" s="513"/>
      <c r="AV210" s="513"/>
      <c r="AW210" s="514"/>
      <c r="AX210" s="513"/>
      <c r="AY210" s="513"/>
    </row>
    <row r="211" spans="1:51" s="115" customFormat="1" ht="12.75" hidden="1" customHeight="1">
      <c r="A211" s="115" t="s">
        <v>210</v>
      </c>
      <c r="B211" s="115">
        <f>IF(B203=1,B197,0)</f>
        <v>0</v>
      </c>
      <c r="D211" s="168">
        <f t="shared" si="20"/>
        <v>0</v>
      </c>
      <c r="E211" s="115">
        <f t="shared" si="20"/>
        <v>0</v>
      </c>
      <c r="G211" s="168">
        <f t="shared" si="21"/>
        <v>0</v>
      </c>
      <c r="H211" s="115">
        <f t="shared" si="21"/>
        <v>0</v>
      </c>
      <c r="J211" s="168">
        <f t="shared" si="22"/>
        <v>0</v>
      </c>
      <c r="K211" s="115">
        <f t="shared" si="22"/>
        <v>0</v>
      </c>
      <c r="M211" s="168">
        <f t="shared" si="23"/>
        <v>0</v>
      </c>
      <c r="N211" s="115">
        <f t="shared" si="23"/>
        <v>0</v>
      </c>
      <c r="P211" s="168">
        <f t="shared" si="24"/>
        <v>0</v>
      </c>
      <c r="Q211" s="115">
        <f t="shared" si="24"/>
        <v>0</v>
      </c>
      <c r="S211" s="168">
        <f t="shared" si="25"/>
        <v>0</v>
      </c>
      <c r="T211" s="115">
        <f t="shared" si="25"/>
        <v>0</v>
      </c>
      <c r="V211" s="168">
        <f t="shared" si="26"/>
        <v>0</v>
      </c>
      <c r="W211" s="115">
        <f t="shared" si="26"/>
        <v>0</v>
      </c>
      <c r="Y211" s="168">
        <f t="shared" si="27"/>
        <v>0</v>
      </c>
      <c r="Z211" s="115">
        <f t="shared" si="27"/>
        <v>0</v>
      </c>
      <c r="AB211" s="168">
        <f t="shared" si="28"/>
        <v>0</v>
      </c>
      <c r="AC211" s="115">
        <f t="shared" si="28"/>
        <v>0</v>
      </c>
      <c r="AE211" s="168">
        <f>IF(AE203=1,AE197,0)</f>
        <v>0</v>
      </c>
      <c r="AT211" s="513"/>
      <c r="AU211" s="513"/>
      <c r="AV211" s="513"/>
      <c r="AW211" s="514"/>
      <c r="AX211" s="513"/>
      <c r="AY211" s="513"/>
    </row>
    <row r="212" spans="1:51" s="115" customFormat="1" ht="12.75" hidden="1" customHeight="1">
      <c r="A212" s="115" t="s">
        <v>211</v>
      </c>
      <c r="B212" s="115">
        <f>IF(B204=1,B198,0)</f>
        <v>0</v>
      </c>
      <c r="D212" s="168">
        <f t="shared" si="20"/>
        <v>0</v>
      </c>
      <c r="E212" s="115">
        <f t="shared" si="20"/>
        <v>0</v>
      </c>
      <c r="G212" s="168">
        <f t="shared" si="21"/>
        <v>0</v>
      </c>
      <c r="H212" s="115">
        <f t="shared" si="21"/>
        <v>0</v>
      </c>
      <c r="J212" s="168">
        <f t="shared" si="22"/>
        <v>0</v>
      </c>
      <c r="K212" s="115">
        <f t="shared" si="22"/>
        <v>0</v>
      </c>
      <c r="M212" s="168">
        <f t="shared" si="23"/>
        <v>0</v>
      </c>
      <c r="N212" s="115">
        <f t="shared" si="23"/>
        <v>0</v>
      </c>
      <c r="P212" s="168">
        <f t="shared" si="24"/>
        <v>0</v>
      </c>
      <c r="Q212" s="115">
        <f t="shared" si="24"/>
        <v>0</v>
      </c>
      <c r="S212" s="168">
        <f t="shared" si="25"/>
        <v>0</v>
      </c>
      <c r="T212" s="115">
        <f t="shared" si="25"/>
        <v>0</v>
      </c>
      <c r="V212" s="168">
        <f t="shared" si="26"/>
        <v>0</v>
      </c>
      <c r="W212" s="115">
        <f t="shared" si="26"/>
        <v>0</v>
      </c>
      <c r="Y212" s="168">
        <f t="shared" si="27"/>
        <v>0</v>
      </c>
      <c r="Z212" s="115">
        <f t="shared" si="27"/>
        <v>0</v>
      </c>
      <c r="AB212" s="168">
        <f t="shared" si="28"/>
        <v>0</v>
      </c>
      <c r="AC212" s="115">
        <f t="shared" si="28"/>
        <v>0</v>
      </c>
      <c r="AE212" s="168">
        <f>IF(AE204=1,AE198,0)</f>
        <v>0</v>
      </c>
      <c r="AT212" s="513"/>
      <c r="AU212" s="513"/>
      <c r="AV212" s="513"/>
      <c r="AW212" s="514"/>
      <c r="AX212" s="513"/>
      <c r="AY212" s="513"/>
    </row>
    <row r="213" spans="1:51" s="115" customFormat="1" ht="12.75" hidden="1" customHeight="1">
      <c r="A213" s="115" t="s">
        <v>212</v>
      </c>
      <c r="B213" s="115">
        <f>IF(B205=1,B199,0)</f>
        <v>0</v>
      </c>
      <c r="D213" s="168">
        <f t="shared" si="20"/>
        <v>0</v>
      </c>
      <c r="E213" s="115">
        <f t="shared" si="20"/>
        <v>0</v>
      </c>
      <c r="G213" s="168">
        <f t="shared" si="21"/>
        <v>0</v>
      </c>
      <c r="H213" s="115">
        <f t="shared" si="21"/>
        <v>0</v>
      </c>
      <c r="J213" s="168">
        <f t="shared" si="22"/>
        <v>0</v>
      </c>
      <c r="K213" s="115">
        <f t="shared" si="22"/>
        <v>0</v>
      </c>
      <c r="M213" s="168">
        <f t="shared" si="23"/>
        <v>0</v>
      </c>
      <c r="N213" s="115">
        <f t="shared" si="23"/>
        <v>0</v>
      </c>
      <c r="P213" s="168">
        <f t="shared" si="24"/>
        <v>0</v>
      </c>
      <c r="Q213" s="115">
        <f t="shared" si="24"/>
        <v>0</v>
      </c>
      <c r="S213" s="168">
        <f t="shared" si="25"/>
        <v>0</v>
      </c>
      <c r="T213" s="115">
        <f t="shared" si="25"/>
        <v>0</v>
      </c>
      <c r="V213" s="168">
        <f t="shared" si="26"/>
        <v>0</v>
      </c>
      <c r="W213" s="115">
        <f t="shared" si="26"/>
        <v>0</v>
      </c>
      <c r="Y213" s="168">
        <f t="shared" si="27"/>
        <v>0</v>
      </c>
      <c r="Z213" s="115">
        <f t="shared" si="27"/>
        <v>0</v>
      </c>
      <c r="AB213" s="168">
        <f t="shared" si="28"/>
        <v>0</v>
      </c>
      <c r="AC213" s="115">
        <f t="shared" si="28"/>
        <v>0</v>
      </c>
      <c r="AE213" s="168">
        <f>IF(AE205=1,AE199,0)</f>
        <v>0</v>
      </c>
      <c r="AT213" s="513"/>
      <c r="AU213" s="513"/>
      <c r="AV213" s="513"/>
      <c r="AW213" s="514"/>
      <c r="AX213" s="513"/>
      <c r="AY213" s="513"/>
    </row>
    <row r="214" spans="1:51" s="115" customFormat="1" ht="38.25" hidden="1" customHeight="1">
      <c r="A214" s="167" t="s">
        <v>213</v>
      </c>
      <c r="B214" s="115">
        <f>SUM(B209:D213)</f>
        <v>42</v>
      </c>
      <c r="D214" s="168"/>
      <c r="E214" s="115">
        <f>SUM(E209:G213)</f>
        <v>38</v>
      </c>
      <c r="G214" s="168"/>
      <c r="H214" s="115">
        <f>SUM(H209:J213)</f>
        <v>34</v>
      </c>
      <c r="J214" s="168"/>
      <c r="K214" s="115">
        <f>SUM(K209:M213)</f>
        <v>0</v>
      </c>
      <c r="M214" s="168"/>
      <c r="N214" s="115">
        <f>SUM(N209:P213)</f>
        <v>0</v>
      </c>
      <c r="P214" s="168"/>
      <c r="Q214" s="115">
        <f>SUM(Q209:S213)</f>
        <v>0</v>
      </c>
      <c r="S214" s="168"/>
      <c r="T214" s="115">
        <f>SUM(T209:V213)</f>
        <v>0</v>
      </c>
      <c r="V214" s="168"/>
      <c r="W214" s="115">
        <f>SUM(W209:Y213)</f>
        <v>0</v>
      </c>
      <c r="Y214" s="168"/>
      <c r="Z214" s="115">
        <f>SUM(Z209:AB213)</f>
        <v>0</v>
      </c>
      <c r="AB214" s="168"/>
      <c r="AC214" s="115">
        <f>SUM(AC209:AE213)</f>
        <v>0</v>
      </c>
      <c r="AE214" s="168"/>
      <c r="AT214" s="513"/>
      <c r="AU214" s="513"/>
      <c r="AV214" s="513"/>
      <c r="AW214" s="514"/>
      <c r="AX214" s="513"/>
      <c r="AY214" s="513"/>
    </row>
    <row r="215" spans="1:51" s="115" customFormat="1" ht="38.25" hidden="1" customHeight="1">
      <c r="A215" s="115" t="s">
        <v>214</v>
      </c>
      <c r="D215" s="168"/>
      <c r="G215" s="168"/>
      <c r="J215" s="168"/>
      <c r="M215" s="168"/>
      <c r="P215" s="168"/>
      <c r="S215" s="168"/>
      <c r="V215" s="168"/>
      <c r="Y215" s="168"/>
      <c r="AB215" s="168"/>
      <c r="AE215" s="168"/>
      <c r="AF215" s="167" t="s">
        <v>215</v>
      </c>
      <c r="AG215" s="115" t="s">
        <v>216</v>
      </c>
      <c r="AT215" s="513"/>
      <c r="AU215" s="513"/>
      <c r="AV215" s="513"/>
      <c r="AW215" s="514"/>
      <c r="AX215" s="513"/>
      <c r="AY215" s="513"/>
    </row>
    <row r="216" spans="1:51" s="115" customFormat="1" ht="12.75" hidden="1" customHeight="1">
      <c r="A216" s="115" t="s">
        <v>38</v>
      </c>
      <c r="B216" s="115">
        <f>IF(B194=1,IF(B207=1,1,0),0)</f>
        <v>0</v>
      </c>
      <c r="D216" s="168">
        <f>IF(D194=1,IF(D207=1,1,0),0)</f>
        <v>0</v>
      </c>
      <c r="E216" s="115">
        <f>IF(E194=1,IF(E207=1,1,0),0)</f>
        <v>0</v>
      </c>
      <c r="G216" s="168">
        <f>IF(G194=1,IF(G207=1,1,0),0)</f>
        <v>0</v>
      </c>
      <c r="H216" s="115">
        <f>IF(H194=1,IF(H207=1,1,0),0)</f>
        <v>1</v>
      </c>
      <c r="J216" s="168">
        <f>IF(J194=1,IF(J207=1,1,0),0)</f>
        <v>0</v>
      </c>
      <c r="K216" s="115">
        <f>IF(K194=1,IF(K207=1,1,0),0)</f>
        <v>0</v>
      </c>
      <c r="M216" s="168">
        <f>IF(M194=1,IF(M207=1,1,0),0)</f>
        <v>0</v>
      </c>
      <c r="N216" s="115">
        <f>IF(N194=1,IF(N207=1,1,0),0)</f>
        <v>0</v>
      </c>
      <c r="P216" s="168">
        <f>IF(P194=1,IF(P207=1,1,0),0)</f>
        <v>0</v>
      </c>
      <c r="Q216" s="115">
        <f>IF(Q194=1,IF(Q207=1,1,0),0)</f>
        <v>0</v>
      </c>
      <c r="S216" s="168">
        <f>IF(S194=1,IF(S207=1,1,0),0)</f>
        <v>0</v>
      </c>
      <c r="T216" s="115">
        <f>IF(T194=1,IF(T207=1,1,0),0)</f>
        <v>0</v>
      </c>
      <c r="V216" s="168">
        <f>IF(V194=1,IF(V207=1,1,0),0)</f>
        <v>0</v>
      </c>
      <c r="W216" s="115">
        <f>IF(W194=1,IF(W207=1,1,0),0)</f>
        <v>0</v>
      </c>
      <c r="Y216" s="168">
        <f>IF(Y194=1,IF(Y207=1,1,0),0)</f>
        <v>0</v>
      </c>
      <c r="Z216" s="115">
        <f>IF(Z194=1,IF(Z207=1,1,0),0)</f>
        <v>0</v>
      </c>
      <c r="AB216" s="168">
        <f>IF(AB194=1,IF(AB207=1,1,0),0)</f>
        <v>0</v>
      </c>
      <c r="AC216" s="115">
        <f>IF(AC194=1,IF(AC207=1,1,0),0)</f>
        <v>0</v>
      </c>
      <c r="AE216" s="168">
        <f>IF(AE194=1,IF(AE207=1,1,0),0)</f>
        <v>0</v>
      </c>
      <c r="AF216" s="115">
        <f>SUM(B216:AE216)</f>
        <v>1</v>
      </c>
      <c r="AG216" s="115">
        <f>AF222-AF216</f>
        <v>0</v>
      </c>
      <c r="AT216" s="513"/>
      <c r="AU216" s="513"/>
      <c r="AV216" s="513"/>
      <c r="AW216" s="514"/>
      <c r="AX216" s="513"/>
      <c r="AY216" s="513"/>
    </row>
    <row r="217" spans="1:51" s="115" customFormat="1" ht="12.75" hidden="1" customHeight="1">
      <c r="A217" s="115" t="s">
        <v>39</v>
      </c>
      <c r="B217" s="115">
        <f>IF(B194=2,IF(B207=1,1,0),0)</f>
        <v>0</v>
      </c>
      <c r="D217" s="168">
        <f>IF(D194=2,IF(D207=1,1,0),0)</f>
        <v>0</v>
      </c>
      <c r="E217" s="115">
        <f>IF(E194=2,IF(E207=1,1,0),0)</f>
        <v>0</v>
      </c>
      <c r="G217" s="168">
        <f>IF(G194=2,IF(G207=1,1,0),0)</f>
        <v>0</v>
      </c>
      <c r="H217" s="115">
        <f>IF(H194=2,IF(H207=1,1,0),0)</f>
        <v>0</v>
      </c>
      <c r="J217" s="168">
        <f>IF(J194=2,IF(J207=1,1,0),0)</f>
        <v>0</v>
      </c>
      <c r="K217" s="115">
        <f>IF(K194=2,IF(K207=1,1,0),0)</f>
        <v>0</v>
      </c>
      <c r="M217" s="168">
        <f>IF(M194=2,IF(M207=1,1,0),0)</f>
        <v>0</v>
      </c>
      <c r="N217" s="115">
        <f>IF(N194=2,IF(N207=1,1,0),0)</f>
        <v>0</v>
      </c>
      <c r="P217" s="168">
        <f>IF(P194=2,IF(P207=1,1,0),0)</f>
        <v>0</v>
      </c>
      <c r="Q217" s="115">
        <f>IF(Q194=2,IF(Q207=1,1,0),0)</f>
        <v>0</v>
      </c>
      <c r="S217" s="168">
        <f>IF(S194=2,IF(S207=1,1,0),0)</f>
        <v>0</v>
      </c>
      <c r="T217" s="115">
        <f>IF(T194=2,IF(T207=1,1,0),0)</f>
        <v>0</v>
      </c>
      <c r="V217" s="168">
        <f>IF(V194=2,IF(V207=1,1,0),0)</f>
        <v>0</v>
      </c>
      <c r="W217" s="115">
        <f>IF(W194=2,IF(W207=1,1,0),0)</f>
        <v>0</v>
      </c>
      <c r="Y217" s="168">
        <f>IF(Y194=2,IF(Y207=1,1,0),0)</f>
        <v>0</v>
      </c>
      <c r="Z217" s="115">
        <f>IF(Z194=2,IF(Z207=1,1,0),0)</f>
        <v>0</v>
      </c>
      <c r="AB217" s="168">
        <f>IF(AB194=2,IF(AB207=1,1,0),0)</f>
        <v>0</v>
      </c>
      <c r="AC217" s="115">
        <f>IF(AC194=2,IF(AC207=1,1,0),0)</f>
        <v>0</v>
      </c>
      <c r="AE217" s="168">
        <f>IF(AE194=2,IF(AE207=1,1,0),0)</f>
        <v>0</v>
      </c>
      <c r="AF217" s="115">
        <f>SUM(B217:AE217)</f>
        <v>0</v>
      </c>
      <c r="AG217" s="115">
        <f>AF223-AF217</f>
        <v>1</v>
      </c>
      <c r="AT217" s="513"/>
      <c r="AU217" s="513"/>
      <c r="AV217" s="513"/>
      <c r="AW217" s="514"/>
      <c r="AX217" s="513"/>
      <c r="AY217" s="513"/>
    </row>
    <row r="218" spans="1:51" s="115" customFormat="1" ht="12.75" hidden="1" customHeight="1">
      <c r="A218" s="115" t="s">
        <v>40</v>
      </c>
      <c r="B218" s="115">
        <f>IF(B194=3,IF(B207=1,1,0),0)</f>
        <v>0</v>
      </c>
      <c r="D218" s="168">
        <f>IF(D194=3,IF(D207=1,1,0),0)</f>
        <v>0</v>
      </c>
      <c r="E218" s="115">
        <f>IF(E194=3,IF(E207=1,1,0),0)</f>
        <v>0</v>
      </c>
      <c r="G218" s="168">
        <f>IF(G194=3,IF(G207=1,1,0),0)</f>
        <v>1</v>
      </c>
      <c r="H218" s="115">
        <f>IF(H194=3,IF(H207=1,1,0),0)</f>
        <v>0</v>
      </c>
      <c r="J218" s="168">
        <f>IF(J194=3,IF(J207=1,1,0),0)</f>
        <v>0</v>
      </c>
      <c r="K218" s="115">
        <f>IF(K194=3,IF(K207=1,1,0),0)</f>
        <v>0</v>
      </c>
      <c r="M218" s="168">
        <f>IF(M194=3,IF(M207=1,1,0),0)</f>
        <v>0</v>
      </c>
      <c r="N218" s="115">
        <f>IF(N194=3,IF(N207=1,1,0),0)</f>
        <v>0</v>
      </c>
      <c r="P218" s="168">
        <f>IF(P194=3,IF(P207=1,1,0),0)</f>
        <v>0</v>
      </c>
      <c r="Q218" s="115">
        <f>IF(Q194=3,IF(Q207=1,1,0),0)</f>
        <v>0</v>
      </c>
      <c r="S218" s="168">
        <f>IF(S194=3,IF(S207=1,1,0),0)</f>
        <v>0</v>
      </c>
      <c r="T218" s="115">
        <f>IF(T194=3,IF(T207=1,1,0),0)</f>
        <v>0</v>
      </c>
      <c r="V218" s="168">
        <f>IF(V194=3,IF(V207=1,1,0),0)</f>
        <v>0</v>
      </c>
      <c r="W218" s="115">
        <f>IF(W194=3,IF(W207=1,1,0),0)</f>
        <v>0</v>
      </c>
      <c r="Y218" s="168">
        <f>IF(Y194=3,IF(Y207=1,1,0),0)</f>
        <v>0</v>
      </c>
      <c r="Z218" s="115">
        <f>IF(Z194=3,IF(Z207=1,1,0),0)</f>
        <v>0</v>
      </c>
      <c r="AB218" s="168">
        <f>IF(AB194=3,IF(AB207=1,1,0),0)</f>
        <v>0</v>
      </c>
      <c r="AC218" s="115">
        <f>IF(AC194=3,IF(AC207=1,1,0),0)</f>
        <v>0</v>
      </c>
      <c r="AE218" s="168">
        <f>IF(AE194=3,IF(AE207=1,1,0),0)</f>
        <v>0</v>
      </c>
      <c r="AF218" s="115">
        <f>SUM(B218:AE218)</f>
        <v>1</v>
      </c>
      <c r="AG218" s="115">
        <f>AF224-AF218</f>
        <v>1</v>
      </c>
      <c r="AT218" s="513"/>
      <c r="AU218" s="513"/>
      <c r="AV218" s="513"/>
      <c r="AW218" s="514"/>
      <c r="AX218" s="513"/>
      <c r="AY218" s="513"/>
    </row>
    <row r="219" spans="1:51" s="115" customFormat="1" ht="12.75" hidden="1" customHeight="1">
      <c r="A219" s="115" t="s">
        <v>41</v>
      </c>
      <c r="B219" s="115">
        <f>IF(B194=4,IF(B207=1,1,0),0)</f>
        <v>0</v>
      </c>
      <c r="D219" s="168">
        <f>IF(D194=4,IF(D207=1,1,0),0)</f>
        <v>0</v>
      </c>
      <c r="E219" s="115">
        <f>IF(E194=4,IF(E207=1,1,0),0)</f>
        <v>0</v>
      </c>
      <c r="G219" s="168">
        <f>IF(G194=4,IF(G207=1,1,0),0)</f>
        <v>0</v>
      </c>
      <c r="H219" s="115">
        <f>IF(H194=4,IF(H207=1,1,0),0)</f>
        <v>0</v>
      </c>
      <c r="J219" s="168">
        <f>IF(J194=4,IF(J207=1,1,0),0)</f>
        <v>0</v>
      </c>
      <c r="K219" s="115">
        <f>IF(K194=4,IF(K207=1,1,0),0)</f>
        <v>0</v>
      </c>
      <c r="M219" s="168">
        <f>IF(M194=4,IF(M207=1,1,0),0)</f>
        <v>0</v>
      </c>
      <c r="N219" s="115">
        <f>IF(N194=4,IF(N207=1,1,0),0)</f>
        <v>0</v>
      </c>
      <c r="P219" s="168">
        <f>IF(P194=4,IF(P207=1,1,0),0)</f>
        <v>0</v>
      </c>
      <c r="Q219" s="115">
        <f>IF(Q194=4,IF(Q207=1,1,0),0)</f>
        <v>0</v>
      </c>
      <c r="S219" s="168">
        <f>IF(S194=4,IF(S207=1,1,0),0)</f>
        <v>0</v>
      </c>
      <c r="T219" s="115">
        <f>IF(T194=4,IF(T207=1,1,0),0)</f>
        <v>0</v>
      </c>
      <c r="V219" s="168">
        <f>IF(V194=4,IF(V207=1,1,0),0)</f>
        <v>0</v>
      </c>
      <c r="W219" s="115">
        <f>IF(W194=4,IF(W207=1,1,0),0)</f>
        <v>0</v>
      </c>
      <c r="Y219" s="168">
        <f>IF(Y194=4,IF(Y207=1,1,0),0)</f>
        <v>0</v>
      </c>
      <c r="Z219" s="115">
        <f>IF(Z194=4,IF(Z207=1,1,0),0)</f>
        <v>0</v>
      </c>
      <c r="AB219" s="168">
        <f>IF(AB194=4,IF(AB207=1,1,0),0)</f>
        <v>0</v>
      </c>
      <c r="AC219" s="115">
        <f>IF(AC194=4,IF(AC207=1,1,0),0)</f>
        <v>0</v>
      </c>
      <c r="AE219" s="168">
        <f>IF(AE194=4,IF(AE207=1,1,0),0)</f>
        <v>0</v>
      </c>
      <c r="AF219" s="115">
        <f>SUM(B219:AE219)</f>
        <v>0</v>
      </c>
      <c r="AG219" s="115">
        <f>AF225-AF219</f>
        <v>0</v>
      </c>
      <c r="AT219" s="513"/>
      <c r="AU219" s="513"/>
      <c r="AV219" s="513"/>
      <c r="AW219" s="514"/>
      <c r="AX219" s="513"/>
      <c r="AY219" s="513"/>
    </row>
    <row r="220" spans="1:51" s="115" customFormat="1" ht="12.75" hidden="1" customHeight="1">
      <c r="A220" s="115" t="s">
        <v>42</v>
      </c>
      <c r="B220" s="115">
        <f>IF(B194=5,IF(B207=1,1,0),0)</f>
        <v>0</v>
      </c>
      <c r="D220" s="168">
        <f>IF(D194=5,IF(D207=1,1,0),0)</f>
        <v>0</v>
      </c>
      <c r="E220" s="115">
        <f>IF(E194=5,IF(E207=1,1,0),0)</f>
        <v>0</v>
      </c>
      <c r="G220" s="168">
        <f>IF(G194=5,IF(G207=1,1,0),0)</f>
        <v>0</v>
      </c>
      <c r="H220" s="115">
        <f>IF(H194=5,IF(H207=1,1,0),0)</f>
        <v>0</v>
      </c>
      <c r="J220" s="168">
        <f>IF(J194=5,IF(J207=1,1,0),0)</f>
        <v>0</v>
      </c>
      <c r="K220" s="115">
        <f>IF(K194=5,IF(K207=1,1,0),0)</f>
        <v>0</v>
      </c>
      <c r="M220" s="168">
        <f>IF(M194=5,IF(M207=1,1,0),0)</f>
        <v>0</v>
      </c>
      <c r="N220" s="115">
        <f>IF(N194=5,IF(N207=1,1,0),0)</f>
        <v>0</v>
      </c>
      <c r="P220" s="168">
        <f>IF(P194=5,IF(P207=1,1,0),0)</f>
        <v>0</v>
      </c>
      <c r="Q220" s="115">
        <f>IF(Q194=5,IF(Q207=1,1,0),0)</f>
        <v>0</v>
      </c>
      <c r="S220" s="168">
        <f>IF(S194=5,IF(S207=1,1,0),0)</f>
        <v>0</v>
      </c>
      <c r="T220" s="115">
        <f>IF(T194=5,IF(T207=1,1,0),0)</f>
        <v>0</v>
      </c>
      <c r="V220" s="168">
        <f>IF(V194=5,IF(V207=1,1,0),0)</f>
        <v>0</v>
      </c>
      <c r="W220" s="115">
        <f>IF(W194=5,IF(W207=1,1,0),0)</f>
        <v>0</v>
      </c>
      <c r="Y220" s="168">
        <f>IF(Y194=5,IF(Y207=1,1,0),0)</f>
        <v>0</v>
      </c>
      <c r="Z220" s="115">
        <f>IF(Z194=5,IF(Z207=1,1,0),0)</f>
        <v>0</v>
      </c>
      <c r="AB220" s="168">
        <f>IF(AB194=5,IF(AB207=1,1,0),0)</f>
        <v>0</v>
      </c>
      <c r="AC220" s="115">
        <f>IF(AC194=5,IF(AC207=1,1,0),0)</f>
        <v>0</v>
      </c>
      <c r="AE220" s="168">
        <f>IF(AE194=5,IF(AE207=1,1,0),0)</f>
        <v>0</v>
      </c>
      <c r="AF220" s="115">
        <f>SUM(B220:AE220)</f>
        <v>0</v>
      </c>
      <c r="AG220" s="115">
        <f>AF226-AF220</f>
        <v>0</v>
      </c>
      <c r="AT220" s="513"/>
      <c r="AU220" s="513"/>
      <c r="AV220" s="513"/>
      <c r="AW220" s="514"/>
      <c r="AX220" s="513"/>
      <c r="AY220" s="513"/>
    </row>
    <row r="221" spans="1:51" s="115" customFormat="1" ht="38.25" hidden="1" customHeight="1">
      <c r="A221" s="167"/>
      <c r="D221" s="168"/>
      <c r="G221" s="168"/>
      <c r="J221" s="168"/>
      <c r="M221" s="168"/>
      <c r="P221" s="168"/>
      <c r="S221" s="168"/>
      <c r="V221" s="168"/>
      <c r="Y221" s="168"/>
      <c r="AB221" s="168"/>
      <c r="AE221" s="168"/>
      <c r="AF221" s="167" t="s">
        <v>217</v>
      </c>
      <c r="AT221" s="513"/>
      <c r="AU221" s="513"/>
      <c r="AV221" s="513"/>
      <c r="AW221" s="514"/>
      <c r="AX221" s="513"/>
      <c r="AY221" s="513"/>
    </row>
    <row r="222" spans="1:51" s="115" customFormat="1" ht="12.75" hidden="1" customHeight="1">
      <c r="A222" s="115" t="s">
        <v>43</v>
      </c>
      <c r="B222" s="115">
        <f>IF(B194=1,IF(C207=1,1,0),0)</f>
        <v>0</v>
      </c>
      <c r="D222" s="168">
        <f>IF(D194=1,IF(C207=1,1,0),0)</f>
        <v>0</v>
      </c>
      <c r="E222" s="115">
        <f>IF(E194=1,IF(F207=1,1,0),0)</f>
        <v>0</v>
      </c>
      <c r="G222" s="168">
        <f>IF(G194=1,IF(F207=1,1,0),0)</f>
        <v>0</v>
      </c>
      <c r="H222" s="115">
        <f>IF(H194=1,IF(I207=1,1,0),0)</f>
        <v>1</v>
      </c>
      <c r="J222" s="168">
        <f>IF(J194=1,IF(I207=1,1,0),0)</f>
        <v>0</v>
      </c>
      <c r="K222" s="115">
        <f>IF(K194=1,IF(L207=1,1,0),0)</f>
        <v>0</v>
      </c>
      <c r="M222" s="168">
        <f>IF(M194=1,IF(L207=1,1,0),0)</f>
        <v>0</v>
      </c>
      <c r="N222" s="115">
        <f>IF(N194=1,IF(O207=1,1,0),0)</f>
        <v>0</v>
      </c>
      <c r="P222" s="168">
        <f>IF(P194=1,IF(O207=1,1,0),0)</f>
        <v>0</v>
      </c>
      <c r="Q222" s="115">
        <f>IF(Q194=1,IF(R207=1,1,0),0)</f>
        <v>0</v>
      </c>
      <c r="S222" s="168">
        <f>IF(S194=1,IF(R207=1,1,0),0)</f>
        <v>0</v>
      </c>
      <c r="T222" s="115">
        <f>IF(T194=1,IF(U207=1,1,0),0)</f>
        <v>0</v>
      </c>
      <c r="V222" s="168">
        <f>IF(V194=1,IF(U207=1,1,0),0)</f>
        <v>0</v>
      </c>
      <c r="W222" s="115">
        <f>IF(W194=1,IF(X207=1,1,0),0)</f>
        <v>0</v>
      </c>
      <c r="Y222" s="168">
        <f>IF(Y194=1,IF(X207=1,1,0),0)</f>
        <v>0</v>
      </c>
      <c r="Z222" s="115">
        <f>IF(Z194=1,IF(AA207=1,1,0),0)</f>
        <v>0</v>
      </c>
      <c r="AB222" s="168">
        <f>IF(AB194=1,IF(AA207=1,1,0),0)</f>
        <v>0</v>
      </c>
      <c r="AC222" s="115">
        <f>IF(AC194=1,IF(AD207=1,1,0),0)</f>
        <v>0</v>
      </c>
      <c r="AE222" s="168">
        <f>IF(AE194=1,IF(AD207=1,1,0),0)</f>
        <v>0</v>
      </c>
      <c r="AF222" s="115">
        <f>SUM(B222:AE222)</f>
        <v>1</v>
      </c>
      <c r="AT222" s="513"/>
      <c r="AU222" s="513"/>
      <c r="AV222" s="513"/>
      <c r="AW222" s="514"/>
      <c r="AX222" s="513"/>
      <c r="AY222" s="513"/>
    </row>
    <row r="223" spans="1:51" s="115" customFormat="1" ht="12.75" hidden="1" customHeight="1">
      <c r="A223" s="115" t="s">
        <v>44</v>
      </c>
      <c r="B223" s="115">
        <f>IF(B194=2,IF(C207=1,1,0),0)</f>
        <v>0</v>
      </c>
      <c r="D223" s="168">
        <f>IF(D194=2,IF(C207=1,1,0),0)</f>
        <v>0</v>
      </c>
      <c r="E223" s="115">
        <f>IF(E194=2,IF(F207=1,1,0),0)</f>
        <v>1</v>
      </c>
      <c r="G223" s="168">
        <f>IF(G194=2,IF(F207=1,1,0),0)</f>
        <v>0</v>
      </c>
      <c r="H223" s="115">
        <f>IF(H194=2,IF(I207=1,1,0),0)</f>
        <v>0</v>
      </c>
      <c r="J223" s="168">
        <f>IF(J194=2,IF(I207=1,1,0),0)</f>
        <v>0</v>
      </c>
      <c r="K223" s="115">
        <f>IF(K194=2,IF(L207=1,1,0),0)</f>
        <v>0</v>
      </c>
      <c r="M223" s="168">
        <f>IF(M194=2,IF(L207=1,1,0),0)</f>
        <v>0</v>
      </c>
      <c r="N223" s="115">
        <f>IF(N194=2,IF(O207=1,1,0),0)</f>
        <v>0</v>
      </c>
      <c r="P223" s="168">
        <f>IF(P194=2,IF(O207=1,1,0),0)</f>
        <v>0</v>
      </c>
      <c r="Q223" s="115">
        <f>IF(Q194=2,IF(R207=1,1,0),0)</f>
        <v>0</v>
      </c>
      <c r="S223" s="168">
        <f>IF(S194=2,IF(R207=1,1,0),0)</f>
        <v>0</v>
      </c>
      <c r="T223" s="115">
        <f>IF(T194=2,IF(U207=1,1,0),0)</f>
        <v>0</v>
      </c>
      <c r="V223" s="168">
        <f>IF(V194=2,IF(U207=1,1,0),0)</f>
        <v>0</v>
      </c>
      <c r="W223" s="115">
        <f>IF(W194=2,IF(X207=1,1,0),0)</f>
        <v>0</v>
      </c>
      <c r="Y223" s="168">
        <f>IF(Y194=2,IF(X207=1,1,0),0)</f>
        <v>0</v>
      </c>
      <c r="Z223" s="115">
        <f>IF(Z194=2,IF(AA207=1,1,0),0)</f>
        <v>0</v>
      </c>
      <c r="AB223" s="168">
        <f>IF(AB194=2,IF(AA207=1,1,0),0)</f>
        <v>0</v>
      </c>
      <c r="AC223" s="115">
        <f>IF(AC194=2,IF(AD207=1,1,0),0)</f>
        <v>0</v>
      </c>
      <c r="AE223" s="168">
        <f>IF(AE194=2,IF(AD207=1,1,0),0)</f>
        <v>0</v>
      </c>
      <c r="AF223" s="115">
        <f>SUM(B223:AE223)</f>
        <v>1</v>
      </c>
      <c r="AT223" s="513"/>
      <c r="AU223" s="513"/>
      <c r="AV223" s="513"/>
      <c r="AW223" s="514"/>
      <c r="AX223" s="513"/>
      <c r="AY223" s="513"/>
    </row>
    <row r="224" spans="1:51" s="115" customFormat="1" ht="12.75" hidden="1" customHeight="1">
      <c r="A224" s="115" t="s">
        <v>45</v>
      </c>
      <c r="B224" s="115">
        <f>IF(B194=3,IF(C207=1,1,0),0)</f>
        <v>0</v>
      </c>
      <c r="D224" s="168">
        <f>IF(D194=3,IF(C207=1,1,0),0)</f>
        <v>0</v>
      </c>
      <c r="E224" s="115">
        <f>IF(E194=3,IF(F207=1,1,0),0)</f>
        <v>0</v>
      </c>
      <c r="G224" s="168">
        <f>IF(G194=3,IF(F207=1,1,0),0)</f>
        <v>1</v>
      </c>
      <c r="H224" s="115">
        <f>IF(H194=3,IF(I207=1,1,0),0)</f>
        <v>0</v>
      </c>
      <c r="J224" s="168">
        <f>IF(J194=3,IF(I207=1,1,0),0)</f>
        <v>1</v>
      </c>
      <c r="K224" s="115">
        <f>IF(K194=3,IF(L207=1,1,0),0)</f>
        <v>0</v>
      </c>
      <c r="M224" s="168">
        <f>IF(M194=3,IF(L207=1,1,0),0)</f>
        <v>0</v>
      </c>
      <c r="N224" s="115">
        <f>IF(N194=3,IF(O207=1,1,0),0)</f>
        <v>0</v>
      </c>
      <c r="P224" s="168">
        <f>IF(P194=3,IF(O207=1,1,0),0)</f>
        <v>0</v>
      </c>
      <c r="Q224" s="115">
        <f>IF(Q194=3,IF(R207=1,1,0),0)</f>
        <v>0</v>
      </c>
      <c r="S224" s="168">
        <f>IF(S194=3,IF(R207=1,1,0),0)</f>
        <v>0</v>
      </c>
      <c r="T224" s="115">
        <f>IF(T194=3,IF(U207=1,1,0),0)</f>
        <v>0</v>
      </c>
      <c r="V224" s="168">
        <f>IF(V194=3,IF(U207=1,1,0),0)</f>
        <v>0</v>
      </c>
      <c r="W224" s="115">
        <f>IF(W194=3,IF(X207=1,1,0),0)</f>
        <v>0</v>
      </c>
      <c r="Y224" s="168">
        <f>IF(Y194=3,IF(X207=1,1,0),0)</f>
        <v>0</v>
      </c>
      <c r="Z224" s="115">
        <f>IF(Z194=3,IF(AA207=1,1,0),0)</f>
        <v>0</v>
      </c>
      <c r="AB224" s="168">
        <f>IF(AB194=3,IF(AA207=1,1,0),0)</f>
        <v>0</v>
      </c>
      <c r="AC224" s="115">
        <f>IF(AC194=3,IF(AD207=1,1,0),0)</f>
        <v>0</v>
      </c>
      <c r="AE224" s="168">
        <f>IF(AE194=3,IF(AD207=1,1,0),0)</f>
        <v>0</v>
      </c>
      <c r="AF224" s="115">
        <f>SUM(B224:AE224)</f>
        <v>2</v>
      </c>
      <c r="AT224" s="513"/>
      <c r="AU224" s="513"/>
      <c r="AV224" s="513"/>
      <c r="AW224" s="514"/>
      <c r="AX224" s="513"/>
      <c r="AY224" s="513"/>
    </row>
    <row r="225" spans="1:51" s="115" customFormat="1" ht="12.75" hidden="1" customHeight="1">
      <c r="A225" s="115" t="s">
        <v>46</v>
      </c>
      <c r="B225" s="115">
        <f>IF(B194=4,IF(C207=1,1,0),0)</f>
        <v>0</v>
      </c>
      <c r="D225" s="168">
        <f>IF(D194=4,IF(C207=1,1,0),0)</f>
        <v>0</v>
      </c>
      <c r="E225" s="115">
        <f>IF(E194=4,IF(F207=1,1,0),0)</f>
        <v>0</v>
      </c>
      <c r="G225" s="168">
        <f>IF(G194=4,IF(F207=1,1,0),0)</f>
        <v>0</v>
      </c>
      <c r="H225" s="115">
        <f>IF(H194=4,IF(I207=1,1,0),0)</f>
        <v>0</v>
      </c>
      <c r="J225" s="168">
        <f>IF(J194=4,IF(I207=1,1,0),0)</f>
        <v>0</v>
      </c>
      <c r="K225" s="115">
        <f>IF(K194=4,IF(L207=1,1,0),0)</f>
        <v>0</v>
      </c>
      <c r="M225" s="168">
        <f>IF(M194=4,IF(L207=1,1,0),0)</f>
        <v>0</v>
      </c>
      <c r="N225" s="115">
        <f>IF(N194=4,IF(O207=1,1,0),0)</f>
        <v>0</v>
      </c>
      <c r="P225" s="168">
        <f>IF(P194=4,IF(O207=1,1,0),0)</f>
        <v>0</v>
      </c>
      <c r="Q225" s="115">
        <f>IF(Q194=4,IF(R207=1,1,0),0)</f>
        <v>0</v>
      </c>
      <c r="S225" s="168">
        <f>IF(S194=4,IF(R207=1,1,0),0)</f>
        <v>0</v>
      </c>
      <c r="T225" s="115">
        <f>IF(T194=4,IF(U207=1,1,0),0)</f>
        <v>0</v>
      </c>
      <c r="V225" s="168">
        <f>IF(V194=4,IF(U207=1,1,0),0)</f>
        <v>0</v>
      </c>
      <c r="W225" s="115">
        <f>IF(W194=4,IF(X207=1,1,0),0)</f>
        <v>0</v>
      </c>
      <c r="Y225" s="168">
        <f>IF(Y194=4,IF(X207=1,1,0),0)</f>
        <v>0</v>
      </c>
      <c r="Z225" s="115">
        <f>IF(Z194=4,IF(AA207=1,1,0),0)</f>
        <v>0</v>
      </c>
      <c r="AB225" s="168">
        <f>IF(AB194=4,IF(AA207=1,1,0),0)</f>
        <v>0</v>
      </c>
      <c r="AC225" s="115">
        <f>IF(AC194=4,IF(AD207=1,1,0),0)</f>
        <v>0</v>
      </c>
      <c r="AE225" s="168">
        <f>IF(AE194=4,IF(AD207=1,1,0),0)</f>
        <v>0</v>
      </c>
      <c r="AF225" s="115">
        <f>SUM(B225:AE225)</f>
        <v>0</v>
      </c>
      <c r="AT225" s="513"/>
      <c r="AU225" s="513"/>
      <c r="AV225" s="513"/>
      <c r="AW225" s="514"/>
      <c r="AX225" s="513"/>
      <c r="AY225" s="513"/>
    </row>
    <row r="226" spans="1:51" s="115" customFormat="1" ht="12.75" hidden="1" customHeight="1">
      <c r="A226" s="115" t="s">
        <v>47</v>
      </c>
      <c r="B226" s="115">
        <f>IF(B194=5,IF(C207=1,1,0),0)</f>
        <v>0</v>
      </c>
      <c r="D226" s="168">
        <f>IF(D194=5,IF(C207=1,1,0),0)</f>
        <v>0</v>
      </c>
      <c r="E226" s="115">
        <f>IF(E194=5,IF(F207=1,1,0),0)</f>
        <v>0</v>
      </c>
      <c r="G226" s="168">
        <f>IF(G194=5,IF(F207=1,1,0),0)</f>
        <v>0</v>
      </c>
      <c r="H226" s="115">
        <f>IF(H194=5,IF(I207=1,1,0),0)</f>
        <v>0</v>
      </c>
      <c r="J226" s="168">
        <f>IF(J194=5,IF(I207=1,1,0),0)</f>
        <v>0</v>
      </c>
      <c r="K226" s="115">
        <f>IF(K194=5,IF(L207=1,1,0),0)</f>
        <v>0</v>
      </c>
      <c r="M226" s="168">
        <f>IF(M194=5,IF(L207=1,1,0),0)</f>
        <v>0</v>
      </c>
      <c r="N226" s="115">
        <f>IF(N194=5,IF(O207=1,1,0),0)</f>
        <v>0</v>
      </c>
      <c r="P226" s="168">
        <f>IF(P194=5,IF(O207=1,1,0),0)</f>
        <v>0</v>
      </c>
      <c r="Q226" s="115">
        <f>IF(Q194=5,IF(R207=1,1,0),0)</f>
        <v>0</v>
      </c>
      <c r="S226" s="168">
        <f>IF(S194=5,IF(R207=1,1,0),0)</f>
        <v>0</v>
      </c>
      <c r="T226" s="115">
        <f>IF(T194=5,IF(U207=1,1,0),0)</f>
        <v>0</v>
      </c>
      <c r="V226" s="168">
        <f>IF(V194=5,IF(U207=1,1,0),0)</f>
        <v>0</v>
      </c>
      <c r="W226" s="115">
        <f>IF(W194=5,IF(X207=1,1,0),0)</f>
        <v>0</v>
      </c>
      <c r="Y226" s="168">
        <f>IF(Y194=5,IF(X207=1,1,0),0)</f>
        <v>0</v>
      </c>
      <c r="Z226" s="115">
        <f>IF(Z194=5,IF(AA207=1,1,0),0)</f>
        <v>0</v>
      </c>
      <c r="AB226" s="168">
        <f>IF(AB194=5,IF(AA207=1,1,0),0)</f>
        <v>0</v>
      </c>
      <c r="AC226" s="115">
        <f>IF(AC194=5,IF(AD207=1,1,0),0)</f>
        <v>0</v>
      </c>
      <c r="AE226" s="168">
        <f>IF(AE194=5,IF(AD207=1,1,0),0)</f>
        <v>0</v>
      </c>
      <c r="AF226" s="115">
        <f>SUM(B226:AE226)</f>
        <v>0</v>
      </c>
      <c r="AT226" s="513"/>
      <c r="AU226" s="513"/>
      <c r="AV226" s="513"/>
      <c r="AW226" s="514"/>
      <c r="AX226" s="513"/>
      <c r="AY226" s="513"/>
    </row>
    <row r="227" spans="1:51" s="115" customFormat="1" ht="38.25" hidden="1" customHeight="1">
      <c r="A227" s="167"/>
      <c r="D227" s="168"/>
      <c r="G227" s="168"/>
      <c r="J227" s="168"/>
      <c r="M227" s="168"/>
      <c r="P227" s="168"/>
      <c r="S227" s="168"/>
      <c r="V227" s="168"/>
      <c r="Y227" s="168"/>
      <c r="AB227" s="168"/>
      <c r="AE227" s="168"/>
      <c r="AF227" s="167" t="s">
        <v>218</v>
      </c>
      <c r="AG227" s="392"/>
      <c r="AH227" s="392"/>
      <c r="AI227" s="392"/>
      <c r="AJ227" s="392"/>
      <c r="AK227" s="392"/>
      <c r="AT227" s="513"/>
      <c r="AU227" s="513"/>
      <c r="AV227" s="513"/>
      <c r="AW227" s="514"/>
      <c r="AX227" s="513"/>
      <c r="AY227" s="513"/>
    </row>
    <row r="228" spans="1:51" s="115" customFormat="1" ht="12.75" hidden="1" customHeight="1">
      <c r="A228" s="115" t="s">
        <v>43</v>
      </c>
      <c r="B228" s="115">
        <f>IF(B194=1,B214,0)</f>
        <v>42</v>
      </c>
      <c r="D228" s="168">
        <f>IF(D194=1,B214,0)</f>
        <v>0</v>
      </c>
      <c r="E228" s="115">
        <f>IF(E194=1,E214,0)</f>
        <v>0</v>
      </c>
      <c r="G228" s="168">
        <f>IF(G194=1,E214,0)</f>
        <v>0</v>
      </c>
      <c r="H228" s="115">
        <f>IF(H194=1,H214,0)</f>
        <v>34</v>
      </c>
      <c r="J228" s="168">
        <f>IF(J194=1,H214,0)</f>
        <v>0</v>
      </c>
      <c r="K228" s="115">
        <f>IF(K194=1,K214,0)</f>
        <v>0</v>
      </c>
      <c r="M228" s="168">
        <f>IF(M194=1,K214,0)</f>
        <v>0</v>
      </c>
      <c r="N228" s="115">
        <f>IF(N194=1,N214,0)</f>
        <v>0</v>
      </c>
      <c r="P228" s="168">
        <f>IF(P194=1,N214,0)</f>
        <v>0</v>
      </c>
      <c r="Q228" s="115">
        <f>IF(Q194=1,Q214,0)</f>
        <v>0</v>
      </c>
      <c r="S228" s="168">
        <f>IF(S194=1,Q214,0)</f>
        <v>0</v>
      </c>
      <c r="T228" s="115">
        <f>IF(T194=1,T214,0)</f>
        <v>0</v>
      </c>
      <c r="V228" s="168">
        <f>IF(V194=1,T214,0)</f>
        <v>0</v>
      </c>
      <c r="W228" s="115">
        <f>IF(W194=1,W214,0)</f>
        <v>0</v>
      </c>
      <c r="Y228" s="168">
        <f>IF(Y194=1,W214,0)</f>
        <v>0</v>
      </c>
      <c r="Z228" s="115">
        <f>IF(Z194=1,Z214,0)</f>
        <v>0</v>
      </c>
      <c r="AB228" s="168">
        <f>IF(AB194=1,Z214,0)</f>
        <v>0</v>
      </c>
      <c r="AC228" s="115">
        <f>IF(AC194=1,AC214,0)</f>
        <v>0</v>
      </c>
      <c r="AE228" s="168">
        <f>IF(AE194=1,AC214,0)</f>
        <v>0</v>
      </c>
      <c r="AF228" s="115">
        <f>SUM(B228:AE228)</f>
        <v>76</v>
      </c>
      <c r="AT228" s="513"/>
      <c r="AU228" s="513"/>
      <c r="AV228" s="513"/>
      <c r="AW228" s="514"/>
      <c r="AX228" s="513"/>
      <c r="AY228" s="513"/>
    </row>
    <row r="229" spans="1:51" s="115" customFormat="1" ht="12.75" hidden="1" customHeight="1">
      <c r="A229" s="115" t="s">
        <v>44</v>
      </c>
      <c r="B229" s="115">
        <f>IF(B194=2,B214,0)</f>
        <v>0</v>
      </c>
      <c r="D229" s="168">
        <f>IF(D194=2,B214,0)</f>
        <v>42</v>
      </c>
      <c r="E229" s="115">
        <f>IF(E194=2,E214,0)</f>
        <v>38</v>
      </c>
      <c r="G229" s="168">
        <f>IF(G194=2,E214,0)</f>
        <v>0</v>
      </c>
      <c r="H229" s="115">
        <f>IF(H194=2,H214,0)</f>
        <v>0</v>
      </c>
      <c r="J229" s="168">
        <f>IF(J194=2,H214,0)</f>
        <v>0</v>
      </c>
      <c r="K229" s="115">
        <f>IF(K194=2,K214,0)</f>
        <v>0</v>
      </c>
      <c r="M229" s="168">
        <f>IF(M194=2,K214,0)</f>
        <v>0</v>
      </c>
      <c r="N229" s="115">
        <f>IF(N194=2,N214,0)</f>
        <v>0</v>
      </c>
      <c r="P229" s="168">
        <f>IF(P194=2,N214,0)</f>
        <v>0</v>
      </c>
      <c r="Q229" s="115">
        <f>IF(Q194=2,Q214,0)</f>
        <v>0</v>
      </c>
      <c r="S229" s="168">
        <f>IF(S194=2,Q214,0)</f>
        <v>0</v>
      </c>
      <c r="T229" s="115">
        <f>IF(T194=2,T214,0)</f>
        <v>0</v>
      </c>
      <c r="V229" s="168">
        <f>IF(V194=2,T214,0)</f>
        <v>0</v>
      </c>
      <c r="W229" s="115">
        <f>IF(W194=2,W214,0)</f>
        <v>0</v>
      </c>
      <c r="Y229" s="168">
        <f>IF(Y194=2,W214,0)</f>
        <v>0</v>
      </c>
      <c r="Z229" s="115">
        <f>IF(Z194=2,Z214,0)</f>
        <v>0</v>
      </c>
      <c r="AB229" s="168">
        <f>IF(AB194=2,Z214,0)</f>
        <v>0</v>
      </c>
      <c r="AC229" s="115">
        <f>IF(AC194=2,AC214,0)</f>
        <v>0</v>
      </c>
      <c r="AE229" s="168">
        <f>IF(AE194=2,AC214,0)</f>
        <v>0</v>
      </c>
      <c r="AF229" s="115">
        <f>SUM(B229:AE229)</f>
        <v>80</v>
      </c>
      <c r="AT229" s="513"/>
      <c r="AU229" s="513"/>
      <c r="AV229" s="513"/>
      <c r="AW229" s="514"/>
      <c r="AX229" s="513"/>
      <c r="AY229" s="513"/>
    </row>
    <row r="230" spans="1:51" s="115" customFormat="1" ht="12.75" hidden="1" customHeight="1">
      <c r="A230" s="115" t="s">
        <v>45</v>
      </c>
      <c r="B230" s="115">
        <f>IF(B194=3,B214,0)</f>
        <v>0</v>
      </c>
      <c r="D230" s="168">
        <f>IF(D194=3,B214,0)</f>
        <v>0</v>
      </c>
      <c r="E230" s="115">
        <f>IF(E194=3,E214,0)</f>
        <v>0</v>
      </c>
      <c r="G230" s="168">
        <f>IF(G194=3,E214,0)</f>
        <v>38</v>
      </c>
      <c r="H230" s="115">
        <f>IF(H194=3,H214,0)</f>
        <v>0</v>
      </c>
      <c r="J230" s="168">
        <f>IF(J194=3,H214,0)</f>
        <v>34</v>
      </c>
      <c r="K230" s="115">
        <f>IF(K194=3,K214,0)</f>
        <v>0</v>
      </c>
      <c r="M230" s="168">
        <f>IF(M194=3,K214,0)</f>
        <v>0</v>
      </c>
      <c r="N230" s="115">
        <f>IF(N194=3,N214,0)</f>
        <v>0</v>
      </c>
      <c r="P230" s="168">
        <f>IF(P194=3,N214,0)</f>
        <v>0</v>
      </c>
      <c r="Q230" s="115">
        <f>IF(Q194=3,Q214,0)</f>
        <v>0</v>
      </c>
      <c r="S230" s="168">
        <f>IF(S194=3,Q214,0)</f>
        <v>0</v>
      </c>
      <c r="T230" s="115">
        <f>IF(T194=3,T214,0)</f>
        <v>0</v>
      </c>
      <c r="V230" s="168">
        <f>IF(V194=3,T214,0)</f>
        <v>0</v>
      </c>
      <c r="W230" s="115">
        <f>IF(W194=3,W214,0)</f>
        <v>0</v>
      </c>
      <c r="Y230" s="168">
        <f>IF(Y194=3,W214,0)</f>
        <v>0</v>
      </c>
      <c r="Z230" s="115">
        <f>IF(Z194=3,Z214,0)</f>
        <v>0</v>
      </c>
      <c r="AB230" s="168">
        <f>IF(AB194=3,Z214,0)</f>
        <v>0</v>
      </c>
      <c r="AC230" s="115">
        <f>IF(AC194=3,AC214,0)</f>
        <v>0</v>
      </c>
      <c r="AE230" s="168">
        <f>IF(AE194=3,AC214,0)</f>
        <v>0</v>
      </c>
      <c r="AF230" s="115">
        <f>SUM(B230:AE230)</f>
        <v>72</v>
      </c>
      <c r="AT230" s="513"/>
      <c r="AU230" s="513"/>
      <c r="AV230" s="513"/>
      <c r="AW230" s="514"/>
      <c r="AX230" s="513"/>
      <c r="AY230" s="513"/>
    </row>
    <row r="231" spans="1:51" s="115" customFormat="1" ht="12.75" hidden="1" customHeight="1">
      <c r="A231" s="115" t="s">
        <v>46</v>
      </c>
      <c r="B231" s="115">
        <f>IF(B194=4,B214,0)</f>
        <v>0</v>
      </c>
      <c r="D231" s="168">
        <f>IF(D194=4,B214,0)</f>
        <v>0</v>
      </c>
      <c r="E231" s="115">
        <f>IF(E194=4,E214,0)</f>
        <v>0</v>
      </c>
      <c r="G231" s="168">
        <f>IF(G194=4,E214,0)</f>
        <v>0</v>
      </c>
      <c r="H231" s="115">
        <f>IF(H194=4,H214,0)</f>
        <v>0</v>
      </c>
      <c r="J231" s="168">
        <f>IF(J194=4,H214,0)</f>
        <v>0</v>
      </c>
      <c r="K231" s="115">
        <f>IF(K194=4,K214,0)</f>
        <v>0</v>
      </c>
      <c r="M231" s="168">
        <f>IF(M194=4,K214,0)</f>
        <v>0</v>
      </c>
      <c r="N231" s="115">
        <f>IF(N194=4,N214,0)</f>
        <v>0</v>
      </c>
      <c r="P231" s="168">
        <f>IF(P194=4,N214,0)</f>
        <v>0</v>
      </c>
      <c r="Q231" s="115">
        <f>IF(Q194=4,Q214,0)</f>
        <v>0</v>
      </c>
      <c r="S231" s="168">
        <f>IF(S194=4,Q214,0)</f>
        <v>0</v>
      </c>
      <c r="T231" s="115">
        <f>IF(T194=4,T214,0)</f>
        <v>0</v>
      </c>
      <c r="V231" s="168">
        <f>IF(V194=4,T214,0)</f>
        <v>0</v>
      </c>
      <c r="W231" s="115">
        <f>IF(W194=4,W214,0)</f>
        <v>0</v>
      </c>
      <c r="Y231" s="168">
        <f>IF(Y194=4,W214,0)</f>
        <v>0</v>
      </c>
      <c r="Z231" s="115">
        <f>IF(Z194=4,Z214,0)</f>
        <v>0</v>
      </c>
      <c r="AB231" s="168">
        <f>IF(AB194=4,Z214,0)</f>
        <v>0</v>
      </c>
      <c r="AC231" s="115">
        <f>IF(AC194=4,AC214,0)</f>
        <v>0</v>
      </c>
      <c r="AE231" s="168">
        <f>IF(AE194=4,AC214,0)</f>
        <v>0</v>
      </c>
      <c r="AF231" s="115">
        <f>SUM(B231:AE231)</f>
        <v>0</v>
      </c>
      <c r="AT231" s="513"/>
      <c r="AU231" s="513"/>
      <c r="AV231" s="513"/>
      <c r="AW231" s="514"/>
      <c r="AX231" s="513"/>
      <c r="AY231" s="513"/>
    </row>
    <row r="232" spans="1:51" s="115" customFormat="1" ht="12.75" hidden="1" customHeight="1">
      <c r="A232" s="115" t="s">
        <v>47</v>
      </c>
      <c r="B232" s="115">
        <f>IF(B194=5,B214,0)</f>
        <v>0</v>
      </c>
      <c r="D232" s="168">
        <f>IF(D194=5,B214,0)</f>
        <v>0</v>
      </c>
      <c r="E232" s="115">
        <f>IF(E194=5,E214,0)</f>
        <v>0</v>
      </c>
      <c r="G232" s="168">
        <f>IF(G194=5,E214,0)</f>
        <v>0</v>
      </c>
      <c r="H232" s="115">
        <f>IF(H194=5,H214,0)</f>
        <v>0</v>
      </c>
      <c r="J232" s="168">
        <f>IF(J194=5,H214,0)</f>
        <v>0</v>
      </c>
      <c r="K232" s="115">
        <f>IF(K194=5,K214,0)</f>
        <v>0</v>
      </c>
      <c r="M232" s="168">
        <f>IF(M194=5,K214,0)</f>
        <v>0</v>
      </c>
      <c r="N232" s="115">
        <f>IF(N194=5,N214,0)</f>
        <v>0</v>
      </c>
      <c r="P232" s="168">
        <f>IF(P194=5,N214,0)</f>
        <v>0</v>
      </c>
      <c r="Q232" s="115">
        <f>IF(Q194=5,Q214,0)</f>
        <v>0</v>
      </c>
      <c r="S232" s="168">
        <f>IF(S194=5,Q214,0)</f>
        <v>0</v>
      </c>
      <c r="T232" s="115">
        <f>IF(T194=5,T214,0)</f>
        <v>0</v>
      </c>
      <c r="V232" s="168">
        <f>IF(V194=5,T214,0)</f>
        <v>0</v>
      </c>
      <c r="W232" s="115">
        <f>IF(W194=5,W214,0)</f>
        <v>0</v>
      </c>
      <c r="Y232" s="168">
        <f>IF(Y194=5,W214,0)</f>
        <v>0</v>
      </c>
      <c r="Z232" s="115">
        <f>IF(Z194=5,Z214,0)</f>
        <v>0</v>
      </c>
      <c r="AB232" s="168">
        <f>IF(AB194=5,Z214,0)</f>
        <v>0</v>
      </c>
      <c r="AC232" s="115">
        <f>IF(AC194=5,AC214,0)</f>
        <v>0</v>
      </c>
      <c r="AE232" s="168">
        <f>IF(AE194=5,AC214,0)</f>
        <v>0</v>
      </c>
      <c r="AF232" s="115">
        <f>SUM(B232:AE232)</f>
        <v>0</v>
      </c>
      <c r="AT232" s="513"/>
      <c r="AU232" s="513"/>
      <c r="AV232" s="513"/>
      <c r="AW232" s="514"/>
      <c r="AX232" s="513"/>
      <c r="AY232" s="513"/>
    </row>
    <row r="233" spans="1:51" s="115" customFormat="1" ht="38.25" hidden="1" customHeight="1">
      <c r="A233" s="115" t="s">
        <v>48</v>
      </c>
      <c r="D233" s="168"/>
      <c r="G233" s="168"/>
      <c r="J233" s="168"/>
      <c r="M233" s="168"/>
      <c r="P233" s="168"/>
      <c r="S233" s="168"/>
      <c r="V233" s="168"/>
      <c r="Y233" s="168"/>
      <c r="AB233" s="168"/>
      <c r="AE233" s="168"/>
      <c r="AF233" s="167" t="s">
        <v>219</v>
      </c>
      <c r="AG233" s="115" t="s">
        <v>220</v>
      </c>
      <c r="AT233" s="513"/>
      <c r="AU233" s="513"/>
      <c r="AV233" s="513"/>
      <c r="AW233" s="514"/>
      <c r="AX233" s="513"/>
      <c r="AY233" s="513"/>
    </row>
    <row r="234" spans="1:51" s="115" customFormat="1" ht="12.75" hidden="1" customHeight="1">
      <c r="A234" s="115" t="s">
        <v>38</v>
      </c>
      <c r="B234" s="115">
        <f>IF(B194=1,SUMIF(B201:B205,"&gt;0"),0)</f>
        <v>1</v>
      </c>
      <c r="D234" s="168">
        <f>IF(D194=1,SUMIF(D201:D205,"&gt;0"),0)</f>
        <v>0</v>
      </c>
      <c r="E234" s="115">
        <f>IF(E194=1,SUMIF(E201:E205,"&gt;0"),0)</f>
        <v>0</v>
      </c>
      <c r="G234" s="168">
        <f>IF(G194=1,SUMIF(G201:G205,"&gt;0"),0)</f>
        <v>0</v>
      </c>
      <c r="H234" s="115">
        <f>IF(H194=1,SUMIF(H201:H205,"&gt;0"),0)</f>
        <v>2</v>
      </c>
      <c r="J234" s="168">
        <f>IF(J194=1,SUMIF(J201:J205,"&gt;0"),0)</f>
        <v>0</v>
      </c>
      <c r="K234" s="115">
        <f>IF(K194=1,SUMIF(K201:K205,"&gt;0"),0)</f>
        <v>0</v>
      </c>
      <c r="M234" s="168">
        <f>IF(M194=1,SUMIF(M201:M205,"&gt;0"),0)</f>
        <v>0</v>
      </c>
      <c r="N234" s="115">
        <f>IF(N194=1,SUMIF(N201:N205,"&gt;0"),0)</f>
        <v>0</v>
      </c>
      <c r="P234" s="168">
        <f>IF(P194=1,SUMIF(P201:P205,"&gt;0"),0)</f>
        <v>0</v>
      </c>
      <c r="Q234" s="115">
        <f>IF(Q194=1,SUMIF(Q201:Q205,"&gt;0"),0)</f>
        <v>0</v>
      </c>
      <c r="S234" s="168">
        <f>IF(S194=1,SUMIF(S201:S205,"&gt;0"),0)</f>
        <v>0</v>
      </c>
      <c r="T234" s="115">
        <f>IF(T194=1,SUMIF(T201:T205,"&gt;0"),0)</f>
        <v>0</v>
      </c>
      <c r="V234" s="168">
        <f>IF(V194=1,SUMIF(V201:V205,"&gt;0"),0)</f>
        <v>0</v>
      </c>
      <c r="W234" s="115">
        <f>IF(W194=1,SUMIF(W201:W205,"&gt;0"),0)</f>
        <v>0</v>
      </c>
      <c r="Y234" s="168">
        <f>IF(Y194=1,SUMIF(Y201:Y205,"&gt;0"),0)</f>
        <v>0</v>
      </c>
      <c r="Z234" s="115">
        <f>IF(Z194=1,SUMIF(Z201:Z205,"&gt;0"),0)</f>
        <v>0</v>
      </c>
      <c r="AB234" s="168">
        <f>IF(AB194=1,SUMIF(AB201:AB205,"&gt;0"),0)</f>
        <v>0</v>
      </c>
      <c r="AC234" s="115">
        <f>IF(AC194=1,SUMIF(AC201:AC205,"&gt;0"),0)</f>
        <v>0</v>
      </c>
      <c r="AE234" s="168">
        <f>IF(AE194=1,SUMIF(AE201:AE205,"&gt;0"),0)</f>
        <v>0</v>
      </c>
      <c r="AF234" s="115">
        <f>SUM(B234:AE234)</f>
        <v>3</v>
      </c>
      <c r="AG234" s="115">
        <f>AF242-AF234</f>
        <v>1</v>
      </c>
      <c r="AT234" s="513"/>
      <c r="AU234" s="513"/>
      <c r="AV234" s="513"/>
      <c r="AW234" s="514"/>
      <c r="AX234" s="513"/>
      <c r="AY234" s="513"/>
    </row>
    <row r="235" spans="1:51" s="115" customFormat="1" ht="12.75" hidden="1" customHeight="1">
      <c r="A235" s="115" t="s">
        <v>39</v>
      </c>
      <c r="B235" s="115">
        <f>IF(B194=2,SUMIF(B201:B205,"&gt;0"),0)</f>
        <v>0</v>
      </c>
      <c r="D235" s="168">
        <f>IF(D194=2,SUMIF(D201:D205,"&gt;0"),0)</f>
        <v>1</v>
      </c>
      <c r="E235" s="115">
        <f>IF(E194=2,SUMIF(E201:E205,"&gt;0"),0)</f>
        <v>0</v>
      </c>
      <c r="G235" s="168">
        <f>IF(G194=2,SUMIF(G201:G205,"&gt;0"),0)</f>
        <v>0</v>
      </c>
      <c r="H235" s="115">
        <f>IF(H194=2,SUMIF(H201:H205,"&gt;0"),0)</f>
        <v>0</v>
      </c>
      <c r="J235" s="168">
        <f>IF(J194=2,SUMIF(J201:J205,"&gt;0"),0)</f>
        <v>0</v>
      </c>
      <c r="K235" s="115">
        <f>IF(K194=2,SUMIF(K201:K205,"&gt;0"),0)</f>
        <v>0</v>
      </c>
      <c r="M235" s="168">
        <f>IF(M194=2,SUMIF(M201:M205,"&gt;0"),0)</f>
        <v>0</v>
      </c>
      <c r="N235" s="115">
        <f>IF(N194=2,SUMIF(N201:N205,"&gt;0"),0)</f>
        <v>0</v>
      </c>
      <c r="P235" s="168">
        <f>IF(P194=2,SUMIF(P201:P205,"&gt;0"),0)</f>
        <v>0</v>
      </c>
      <c r="Q235" s="115">
        <f>IF(Q194=2,SUMIF(Q201:Q205,"&gt;0"),0)</f>
        <v>0</v>
      </c>
      <c r="S235" s="168">
        <f>IF(S194=2,SUMIF(S201:S205,"&gt;0"),0)</f>
        <v>0</v>
      </c>
      <c r="T235" s="115">
        <f>IF(T194=2,SUMIF(T201:T205,"&gt;0"),0)</f>
        <v>0</v>
      </c>
      <c r="V235" s="168">
        <f>IF(V194=2,SUMIF(V201:V205,"&gt;0"),0)</f>
        <v>0</v>
      </c>
      <c r="W235" s="115">
        <f>IF(W194=2,SUMIF(W201:W205,"&gt;0"),0)</f>
        <v>0</v>
      </c>
      <c r="Y235" s="168">
        <f>IF(Y194=2,SUMIF(Y201:Y205,"&gt;0"),0)</f>
        <v>0</v>
      </c>
      <c r="Z235" s="115">
        <f>IF(Z194=2,SUMIF(Z201:Z205,"&gt;0"),0)</f>
        <v>0</v>
      </c>
      <c r="AB235" s="168">
        <f>IF(AB194=2,SUMIF(AB201:AB205,"&gt;0"),0)</f>
        <v>0</v>
      </c>
      <c r="AC235" s="115">
        <f>IF(AC194=2,SUMIF(AC201:AC205,"&gt;0"),0)</f>
        <v>0</v>
      </c>
      <c r="AE235" s="168">
        <f>IF(AE194=2,SUMIF(AE201:AE205,"&gt;0"),0)</f>
        <v>0</v>
      </c>
      <c r="AF235" s="115">
        <f>SUM(B235:AE235)</f>
        <v>1</v>
      </c>
      <c r="AG235" s="115">
        <f>AF243-AF235</f>
        <v>3</v>
      </c>
      <c r="AT235" s="513"/>
      <c r="AU235" s="513"/>
      <c r="AV235" s="513"/>
      <c r="AW235" s="514"/>
      <c r="AX235" s="513"/>
      <c r="AY235" s="513"/>
    </row>
    <row r="236" spans="1:51" s="115" customFormat="1" ht="12.75" hidden="1" customHeight="1">
      <c r="A236" s="115" t="s">
        <v>40</v>
      </c>
      <c r="B236" s="115">
        <f>IF(B194=3,SUMIF(B201:B205,"&gt;0"),0)</f>
        <v>0</v>
      </c>
      <c r="D236" s="168">
        <f>IF(D194=3,SUMIF(D201:D205,"&gt;0"),0)</f>
        <v>0</v>
      </c>
      <c r="E236" s="115">
        <f>IF(E194=3,SUMIF(E201:E205,"&gt;0"),0)</f>
        <v>0</v>
      </c>
      <c r="G236" s="168">
        <f>IF(G194=3,SUMIF(G201:G205,"&gt;0"),0)</f>
        <v>2</v>
      </c>
      <c r="H236" s="115">
        <f>IF(H194=3,SUMIF(H201:H205,"&gt;0"),0)</f>
        <v>0</v>
      </c>
      <c r="J236" s="168">
        <f>IF(J194=3,SUMIF(J201:J205,"&gt;0"),0)</f>
        <v>0</v>
      </c>
      <c r="K236" s="115">
        <f>IF(K194=3,SUMIF(K201:K205,"&gt;0"),0)</f>
        <v>0</v>
      </c>
      <c r="M236" s="168">
        <f>IF(M194=3,SUMIF(M201:M205,"&gt;0"),0)</f>
        <v>0</v>
      </c>
      <c r="N236" s="115">
        <f>IF(N194=3,SUMIF(N201:N205,"&gt;0"),0)</f>
        <v>0</v>
      </c>
      <c r="P236" s="168">
        <f>IF(P194=3,SUMIF(P201:P205,"&gt;0"),0)</f>
        <v>0</v>
      </c>
      <c r="Q236" s="115">
        <f>IF(Q194=3,SUMIF(Q201:Q205,"&gt;0"),0)</f>
        <v>0</v>
      </c>
      <c r="S236" s="168">
        <f>IF(S194=3,SUMIF(S201:S205,"&gt;0"),0)</f>
        <v>0</v>
      </c>
      <c r="T236" s="115">
        <f>IF(T194=3,SUMIF(T201:T205,"&gt;0"),0)</f>
        <v>0</v>
      </c>
      <c r="V236" s="168">
        <f>IF(V194=3,SUMIF(V201:V205,"&gt;0"),0)</f>
        <v>0</v>
      </c>
      <c r="W236" s="115">
        <f>IF(W194=3,SUMIF(W201:W205,"&gt;0"),0)</f>
        <v>0</v>
      </c>
      <c r="Y236" s="168">
        <f>IF(Y194=3,SUMIF(Y201:Y205,"&gt;0"),0)</f>
        <v>0</v>
      </c>
      <c r="Z236" s="115">
        <f>IF(Z194=3,SUMIF(Z201:Z205,"&gt;0"),0)</f>
        <v>0</v>
      </c>
      <c r="AB236" s="168">
        <f>IF(AB194=3,SUMIF(AB201:AB205,"&gt;0"),0)</f>
        <v>0</v>
      </c>
      <c r="AC236" s="115">
        <f>IF(AC194=3,SUMIF(AC201:AC205,"&gt;0"),0)</f>
        <v>0</v>
      </c>
      <c r="AE236" s="168">
        <f>IF(AE194=3,SUMIF(AE201:AE205,"&gt;0"),0)</f>
        <v>0</v>
      </c>
      <c r="AF236" s="115">
        <f>SUM(B236:AE236)</f>
        <v>2</v>
      </c>
      <c r="AG236" s="115">
        <f>AF244-AF236</f>
        <v>2</v>
      </c>
      <c r="AT236" s="513"/>
      <c r="AU236" s="513"/>
      <c r="AV236" s="513"/>
      <c r="AW236" s="514"/>
      <c r="AX236" s="513"/>
      <c r="AY236" s="513"/>
    </row>
    <row r="237" spans="1:51" s="115" customFormat="1" ht="12.75" hidden="1" customHeight="1">
      <c r="A237" s="115" t="s">
        <v>41</v>
      </c>
      <c r="B237" s="115">
        <f>IF(B194=4,SUMIF(B201:B205,"&gt;0"),0)</f>
        <v>0</v>
      </c>
      <c r="D237" s="168">
        <f>IF(D194=4,SUMIF(D201:D205,"&gt;0"),0)</f>
        <v>0</v>
      </c>
      <c r="E237" s="115">
        <f>IF(E194=4,SUMIF(E201:E205,"&gt;0"),0)</f>
        <v>0</v>
      </c>
      <c r="G237" s="168">
        <f>IF(G194=4,SUMIF(G201:G205,"&gt;0"),0)</f>
        <v>0</v>
      </c>
      <c r="H237" s="115">
        <f>IF(H194=4,SUMIF(H201:H205,"&gt;0"),0)</f>
        <v>0</v>
      </c>
      <c r="J237" s="168">
        <f>IF(J194=4,SUMIF(J201:J205,"&gt;0"),0)</f>
        <v>0</v>
      </c>
      <c r="K237" s="115">
        <f>IF(K194=4,SUMIF(K201:K205,"&gt;0"),0)</f>
        <v>0</v>
      </c>
      <c r="M237" s="168">
        <f>IF(M194=4,SUMIF(M201:M205,"&gt;0"),0)</f>
        <v>0</v>
      </c>
      <c r="N237" s="115">
        <f>IF(N194=4,SUMIF(N201:N205,"&gt;0"),0)</f>
        <v>0</v>
      </c>
      <c r="P237" s="168">
        <f>IF(P194=4,SUMIF(P201:P205,"&gt;0"),0)</f>
        <v>0</v>
      </c>
      <c r="Q237" s="115">
        <f>IF(Q194=4,SUMIF(Q201:Q205,"&gt;0"),0)</f>
        <v>0</v>
      </c>
      <c r="S237" s="168">
        <f>IF(S194=4,SUMIF(S201:S205,"&gt;0"),0)</f>
        <v>0</v>
      </c>
      <c r="T237" s="115">
        <f>IF(T194=4,SUMIF(T201:T205,"&gt;0"),0)</f>
        <v>0</v>
      </c>
      <c r="V237" s="168">
        <f>IF(V194=4,SUMIF(V201:V205,"&gt;0"),0)</f>
        <v>0</v>
      </c>
      <c r="W237" s="115">
        <f>IF(W194=4,SUMIF(W201:W205,"&gt;0"),0)</f>
        <v>0</v>
      </c>
      <c r="Y237" s="168">
        <f>IF(Y194=4,SUMIF(Y201:Y205,"&gt;0"),0)</f>
        <v>0</v>
      </c>
      <c r="Z237" s="115">
        <f>IF(Z194=4,SUMIF(Z201:Z205,"&gt;0"),0)</f>
        <v>0</v>
      </c>
      <c r="AB237" s="168">
        <f>IF(AB194=4,SUMIF(AB201:AB205,"&gt;0"),0)</f>
        <v>0</v>
      </c>
      <c r="AC237" s="115">
        <f>IF(AC194=4,SUMIF(AC201:AC205,"&gt;0"),0)</f>
        <v>0</v>
      </c>
      <c r="AE237" s="168">
        <f>IF(AE194=4,SUMIF(AE201:AE205,"&gt;0"),0)</f>
        <v>0</v>
      </c>
      <c r="AF237" s="115">
        <f>SUM(B237:AE237)</f>
        <v>0</v>
      </c>
      <c r="AG237" s="115">
        <f>AF245-AF237</f>
        <v>0</v>
      </c>
      <c r="AT237" s="513"/>
      <c r="AU237" s="513"/>
      <c r="AV237" s="513"/>
      <c r="AW237" s="514"/>
      <c r="AX237" s="513"/>
      <c r="AY237" s="513"/>
    </row>
    <row r="238" spans="1:51" s="115" customFormat="1" ht="12.75" hidden="1" customHeight="1">
      <c r="A238" s="115" t="s">
        <v>42</v>
      </c>
      <c r="B238" s="115">
        <f>IF(B194=5,SUMIF(B201:B205,"&gt;0"),0)</f>
        <v>0</v>
      </c>
      <c r="D238" s="168">
        <f>IF(D194=5,SUMIF(D201:D205,"&gt;0"),0)</f>
        <v>0</v>
      </c>
      <c r="E238" s="115">
        <f>IF(E194=5,SUMIF(E201:E205,"&gt;0"),0)</f>
        <v>0</v>
      </c>
      <c r="G238" s="168">
        <f>IF(G194=5,SUMIF(G201:G205,"&gt;0"),0)</f>
        <v>0</v>
      </c>
      <c r="H238" s="115">
        <f>IF(H194=5,SUMIF(H201:H205,"&gt;0"),0)</f>
        <v>0</v>
      </c>
      <c r="J238" s="168">
        <f>IF(J194=5,SUMIF(J201:J205,"&gt;0"),0)</f>
        <v>0</v>
      </c>
      <c r="K238" s="115">
        <f>IF(K194=5,SUMIF(K201:K205,"&gt;0"),0)</f>
        <v>0</v>
      </c>
      <c r="M238" s="168">
        <f>IF(M194=5,SUMIF(M201:M205,"&gt;0"),0)</f>
        <v>0</v>
      </c>
      <c r="N238" s="115">
        <f>IF(N194=5,SUMIF(N201:N205,"&gt;0"),0)</f>
        <v>0</v>
      </c>
      <c r="P238" s="168">
        <f>IF(P194=5,SUMIF(P201:P205,"&gt;0"),0)</f>
        <v>0</v>
      </c>
      <c r="Q238" s="115">
        <f>IF(Q194=5,SUMIF(Q201:Q205,"&gt;0"),0)</f>
        <v>0</v>
      </c>
      <c r="S238" s="168">
        <f>IF(S194=5,SUMIF(S201:S205,"&gt;0"),0)</f>
        <v>0</v>
      </c>
      <c r="T238" s="115">
        <f>IF(T194=5,SUMIF(T201:T205,"&gt;0"),0)</f>
        <v>0</v>
      </c>
      <c r="V238" s="168">
        <f>IF(V194=5,SUMIF(V201:V205,"&gt;0"),0)</f>
        <v>0</v>
      </c>
      <c r="W238" s="115">
        <f>IF(W194=5,SUMIF(W201:W205,"&gt;0"),0)</f>
        <v>0</v>
      </c>
      <c r="Y238" s="168">
        <f>IF(Y194=5,SUMIF(Y201:Y205,"&gt;0"),0)</f>
        <v>0</v>
      </c>
      <c r="Z238" s="115">
        <f>IF(Z194=5,SUMIF(Z201:Z205,"&gt;0"),0)</f>
        <v>0</v>
      </c>
      <c r="AB238" s="168">
        <f>IF(AB194=5,SUMIF(AB201:AB205,"&gt;0"),0)</f>
        <v>0</v>
      </c>
      <c r="AC238" s="115">
        <f>IF(AC194=5,SUMIF(AC201:AC205,"&gt;0"),0)</f>
        <v>0</v>
      </c>
      <c r="AE238" s="168">
        <f>IF(AE194=5,SUMIF(AE201:AE205,"&gt;0"),0)</f>
        <v>0</v>
      </c>
      <c r="AF238" s="115">
        <f>SUM(B238:AE238)</f>
        <v>0</v>
      </c>
      <c r="AG238" s="115">
        <f>AF246-AF238</f>
        <v>0</v>
      </c>
      <c r="AT238" s="513"/>
      <c r="AU238" s="513"/>
      <c r="AV238" s="513"/>
      <c r="AW238" s="514"/>
      <c r="AX238" s="513"/>
      <c r="AY238" s="513"/>
    </row>
    <row r="239" spans="1:51" s="115" customFormat="1" ht="12.75" hidden="1" customHeight="1">
      <c r="D239" s="168"/>
      <c r="G239" s="168"/>
      <c r="J239" s="168"/>
      <c r="M239" s="168"/>
      <c r="P239" s="168"/>
      <c r="S239" s="168"/>
      <c r="V239" s="168"/>
      <c r="Y239" s="168"/>
      <c r="AB239" s="168"/>
      <c r="AE239" s="168"/>
      <c r="AT239" s="513"/>
      <c r="AU239" s="513"/>
      <c r="AV239" s="513"/>
      <c r="AW239" s="514"/>
      <c r="AX239" s="513"/>
      <c r="AY239" s="513"/>
    </row>
    <row r="240" spans="1:51" s="115" customFormat="1" ht="12.75" hidden="1" customHeight="1">
      <c r="D240" s="168"/>
      <c r="G240" s="168"/>
      <c r="J240" s="168"/>
      <c r="M240" s="168"/>
      <c r="P240" s="168"/>
      <c r="S240" s="168"/>
      <c r="V240" s="168"/>
      <c r="Y240" s="168"/>
      <c r="AB240" s="168"/>
      <c r="AE240" s="168"/>
      <c r="AT240" s="513"/>
      <c r="AU240" s="513"/>
      <c r="AV240" s="513"/>
      <c r="AW240" s="514"/>
      <c r="AX240" s="513"/>
      <c r="AY240" s="513"/>
    </row>
    <row r="241" spans="1:54" s="115" customFormat="1" ht="51" hidden="1" customHeight="1">
      <c r="A241" s="167" t="s">
        <v>221</v>
      </c>
      <c r="C241" s="115">
        <f>SUMIF(B234:D238,"&gt;0")</f>
        <v>2</v>
      </c>
      <c r="D241" s="168"/>
      <c r="F241" s="115">
        <f>SUMIF(E234:G238,"&gt;0")</f>
        <v>2</v>
      </c>
      <c r="G241" s="168"/>
      <c r="I241" s="115">
        <f>SUMIF(H234:J238,"&gt;0")</f>
        <v>2</v>
      </c>
      <c r="J241" s="168"/>
      <c r="L241" s="115">
        <f>SUMIF(K234:M238,"&gt;0")</f>
        <v>0</v>
      </c>
      <c r="M241" s="168"/>
      <c r="O241" s="115">
        <f>SUMIF(N234:P238,"&gt;0")</f>
        <v>0</v>
      </c>
      <c r="P241" s="168"/>
      <c r="R241" s="115">
        <f>SUMIF(Q234:S238,"&gt;0")</f>
        <v>0</v>
      </c>
      <c r="S241" s="168"/>
      <c r="U241" s="115">
        <f>SUMIF(T234:V238,"&gt;0")</f>
        <v>0</v>
      </c>
      <c r="V241" s="168"/>
      <c r="X241" s="115">
        <f>SUMIF(W234:Y238,"&gt;0")</f>
        <v>0</v>
      </c>
      <c r="Y241" s="168"/>
      <c r="AA241" s="115">
        <f>SUMIF(Z234:AB238,"&gt;0")</f>
        <v>0</v>
      </c>
      <c r="AB241" s="168"/>
      <c r="AD241" s="115">
        <f>SUMIF(AC234:AE238,"&gt;0")</f>
        <v>0</v>
      </c>
      <c r="AE241" s="168"/>
      <c r="AF241" s="167" t="s">
        <v>222</v>
      </c>
      <c r="AT241" s="513"/>
      <c r="AU241" s="513"/>
      <c r="AV241" s="513"/>
      <c r="AW241" s="514"/>
      <c r="AX241" s="513"/>
      <c r="AY241" s="513"/>
    </row>
    <row r="242" spans="1:54" s="115" customFormat="1" ht="12.75" hidden="1" customHeight="1">
      <c r="A242" s="115" t="s">
        <v>43</v>
      </c>
      <c r="B242" s="115">
        <f>IF(B194=1,C241,0)</f>
        <v>2</v>
      </c>
      <c r="D242" s="168">
        <f>IF(D194=1,C241,0)</f>
        <v>0</v>
      </c>
      <c r="E242" s="115">
        <f>IF(E194=1,F241,0)</f>
        <v>0</v>
      </c>
      <c r="G242" s="168">
        <f>IF(G194=1,F241,0)</f>
        <v>0</v>
      </c>
      <c r="H242" s="115">
        <f>IF(H194=1,I241,0)</f>
        <v>2</v>
      </c>
      <c r="J242" s="168">
        <f>IF(J194=1,I241,0)</f>
        <v>0</v>
      </c>
      <c r="K242" s="115">
        <f>IF(K194=1,L241,0)</f>
        <v>0</v>
      </c>
      <c r="M242" s="168">
        <f>IF(M194=1,L241,0)</f>
        <v>0</v>
      </c>
      <c r="N242" s="115">
        <f>IF(N194=1,O241,0)</f>
        <v>0</v>
      </c>
      <c r="P242" s="168">
        <f>IF(P194=1,O241,0)</f>
        <v>0</v>
      </c>
      <c r="Q242" s="115">
        <f>IF(Q194=1,R241,0)</f>
        <v>0</v>
      </c>
      <c r="S242" s="168">
        <f>IF(S194=1,R241,0)</f>
        <v>0</v>
      </c>
      <c r="T242" s="115">
        <f>IF(T194=1,U241,0)</f>
        <v>0</v>
      </c>
      <c r="V242" s="168">
        <f>IF(V194=1,U241,0)</f>
        <v>0</v>
      </c>
      <c r="W242" s="115">
        <f>IF(W194=1,X241,0)</f>
        <v>0</v>
      </c>
      <c r="Y242" s="168">
        <f>IF(Y194=1,X241,0)</f>
        <v>0</v>
      </c>
      <c r="Z242" s="115">
        <f>IF(Z194=1,AA241,0)</f>
        <v>0</v>
      </c>
      <c r="AB242" s="168">
        <f>IF(AB194=1,AA241,0)</f>
        <v>0</v>
      </c>
      <c r="AC242" s="115">
        <f>IF(AC194=1,AD241,0)</f>
        <v>0</v>
      </c>
      <c r="AE242" s="168">
        <f>IF(AE194=1,AD241,0)</f>
        <v>0</v>
      </c>
      <c r="AF242" s="115">
        <f>SUM(B242:AE242)</f>
        <v>4</v>
      </c>
      <c r="AT242" s="513"/>
      <c r="AU242" s="513"/>
      <c r="AV242" s="513"/>
      <c r="AW242" s="514"/>
      <c r="AX242" s="513"/>
      <c r="AY242" s="513"/>
    </row>
    <row r="243" spans="1:54" s="115" customFormat="1" ht="12.75" hidden="1" customHeight="1">
      <c r="A243" s="115" t="s">
        <v>44</v>
      </c>
      <c r="B243" s="115">
        <f>IF(B194=2,C241,0)</f>
        <v>0</v>
      </c>
      <c r="D243" s="168">
        <f>IF(D194=2,C241,0)</f>
        <v>2</v>
      </c>
      <c r="E243" s="115">
        <f>IF(E194=2,F241,0)</f>
        <v>2</v>
      </c>
      <c r="G243" s="168">
        <f>IF(G194=2,F241,0)</f>
        <v>0</v>
      </c>
      <c r="H243" s="115">
        <f>IF(H194=2,I241,0)</f>
        <v>0</v>
      </c>
      <c r="J243" s="168">
        <f>IF(J194=2,I241,0)</f>
        <v>0</v>
      </c>
      <c r="K243" s="115">
        <f>IF(K194=2,L241,0)</f>
        <v>0</v>
      </c>
      <c r="M243" s="168">
        <f>IF(M194=2,L241,0)</f>
        <v>0</v>
      </c>
      <c r="N243" s="115">
        <f>IF(N194=2,O241,0)</f>
        <v>0</v>
      </c>
      <c r="P243" s="168">
        <f>IF(P194=2,O241,0)</f>
        <v>0</v>
      </c>
      <c r="Q243" s="115">
        <f>IF(Q194=2,R241,0)</f>
        <v>0</v>
      </c>
      <c r="S243" s="168">
        <f>IF(S194=2,R241,0)</f>
        <v>0</v>
      </c>
      <c r="T243" s="115">
        <f>IF(T194=2,U241,0)</f>
        <v>0</v>
      </c>
      <c r="V243" s="168">
        <f>IF(V194=2,U241,0)</f>
        <v>0</v>
      </c>
      <c r="W243" s="115">
        <f>IF(W194=2,X241,0)</f>
        <v>0</v>
      </c>
      <c r="Y243" s="168">
        <f>IF(Y194=2,X241,0)</f>
        <v>0</v>
      </c>
      <c r="Z243" s="115">
        <f>IF(Z194=2,AA241,0)</f>
        <v>0</v>
      </c>
      <c r="AB243" s="168">
        <f>IF(AB194=2,AA241,0)</f>
        <v>0</v>
      </c>
      <c r="AC243" s="115">
        <f>IF(AC194=2,AD241,0)</f>
        <v>0</v>
      </c>
      <c r="AE243" s="168">
        <f>IF(AE194=2,AD241,0)</f>
        <v>0</v>
      </c>
      <c r="AF243" s="115">
        <f>SUM(B243:AE243)</f>
        <v>4</v>
      </c>
      <c r="AT243" s="513"/>
      <c r="AU243" s="513"/>
      <c r="AV243" s="513"/>
      <c r="AW243" s="514"/>
      <c r="AX243" s="513"/>
      <c r="AY243" s="513"/>
    </row>
    <row r="244" spans="1:54" s="115" customFormat="1" ht="12.75" hidden="1" customHeight="1">
      <c r="A244" s="115" t="s">
        <v>45</v>
      </c>
      <c r="B244" s="115">
        <f>IF(B194=3,C241,0)</f>
        <v>0</v>
      </c>
      <c r="D244" s="168">
        <f>IF(D194=3,C241,0)</f>
        <v>0</v>
      </c>
      <c r="E244" s="115">
        <f>IF(E194=3,F241,0)</f>
        <v>0</v>
      </c>
      <c r="G244" s="168">
        <f>IF(G194=3,F241,0)</f>
        <v>2</v>
      </c>
      <c r="H244" s="115">
        <f>IF(H194=3,I241,0)</f>
        <v>0</v>
      </c>
      <c r="J244" s="168">
        <f>IF(J194=3,I241,0)</f>
        <v>2</v>
      </c>
      <c r="K244" s="115">
        <f>IF(K194=3,L241,0)</f>
        <v>0</v>
      </c>
      <c r="M244" s="168">
        <f>IF(M194=3,L241,0)</f>
        <v>0</v>
      </c>
      <c r="N244" s="115">
        <f>IF(N194=3,O241,0)</f>
        <v>0</v>
      </c>
      <c r="P244" s="168">
        <f>IF(P194=3,O241,0)</f>
        <v>0</v>
      </c>
      <c r="Q244" s="115">
        <f>IF(Q194=3,R241,0)</f>
        <v>0</v>
      </c>
      <c r="S244" s="168">
        <f>IF(S194=3,R241,0)</f>
        <v>0</v>
      </c>
      <c r="T244" s="115">
        <f>IF(T194=3,U241,0)</f>
        <v>0</v>
      </c>
      <c r="V244" s="168">
        <f>IF(V194=3,U241,0)</f>
        <v>0</v>
      </c>
      <c r="W244" s="115">
        <f>IF(W194=3,X241,0)</f>
        <v>0</v>
      </c>
      <c r="Y244" s="168">
        <f>IF(Y194=3,X241,0)</f>
        <v>0</v>
      </c>
      <c r="Z244" s="115">
        <f>IF(Z194=3,AA241,0)</f>
        <v>0</v>
      </c>
      <c r="AB244" s="168">
        <f>IF(AB194=3,AA241,0)</f>
        <v>0</v>
      </c>
      <c r="AC244" s="115">
        <f>IF(AC194=3,AD241,0)</f>
        <v>0</v>
      </c>
      <c r="AE244" s="168">
        <f>IF(AE194=3,AD241,0)</f>
        <v>0</v>
      </c>
      <c r="AF244" s="115">
        <f>SUM(B244:AE244)</f>
        <v>4</v>
      </c>
      <c r="AT244" s="513"/>
      <c r="AU244" s="513"/>
      <c r="AV244" s="513"/>
      <c r="AW244" s="514"/>
      <c r="AX244" s="513"/>
      <c r="AY244" s="513"/>
    </row>
    <row r="245" spans="1:54" s="115" customFormat="1" ht="12.75" hidden="1" customHeight="1">
      <c r="A245" s="115" t="s">
        <v>46</v>
      </c>
      <c r="B245" s="115">
        <f>IF(B194=4,C241,0)</f>
        <v>0</v>
      </c>
      <c r="D245" s="168">
        <f>IF(D194=4,C241,0)</f>
        <v>0</v>
      </c>
      <c r="E245" s="115">
        <f>IF(E194=4,F241,0)</f>
        <v>0</v>
      </c>
      <c r="G245" s="168">
        <f>IF(G194=4,F241,0)</f>
        <v>0</v>
      </c>
      <c r="H245" s="115">
        <f>IF(H194=4,I241,0)</f>
        <v>0</v>
      </c>
      <c r="J245" s="168">
        <f>IF(J194=4,I241,0)</f>
        <v>0</v>
      </c>
      <c r="K245" s="115">
        <f>IF(K194=4,L241,0)</f>
        <v>0</v>
      </c>
      <c r="M245" s="168">
        <f>IF(M194=4,L241,0)</f>
        <v>0</v>
      </c>
      <c r="N245" s="115">
        <f>IF(N194=4,O241,0)</f>
        <v>0</v>
      </c>
      <c r="P245" s="168">
        <f>IF(P194=4,O241,0)</f>
        <v>0</v>
      </c>
      <c r="Q245" s="115">
        <f>IF(Q194=4,R241,0)</f>
        <v>0</v>
      </c>
      <c r="S245" s="168">
        <f>IF(S194=4,R241,0)</f>
        <v>0</v>
      </c>
      <c r="T245" s="115">
        <f>IF(T194=4,U241,0)</f>
        <v>0</v>
      </c>
      <c r="V245" s="168">
        <f>IF(V194=4,U241,0)</f>
        <v>0</v>
      </c>
      <c r="W245" s="115">
        <f>IF(W194=4,X241,0)</f>
        <v>0</v>
      </c>
      <c r="Y245" s="168">
        <f>IF(Y194=4,X241,0)</f>
        <v>0</v>
      </c>
      <c r="Z245" s="115">
        <f>IF(Z194=4,AA241,0)</f>
        <v>0</v>
      </c>
      <c r="AB245" s="168">
        <f>IF(AB194=4,AA241,0)</f>
        <v>0</v>
      </c>
      <c r="AC245" s="115">
        <f>IF(AC194=4,AD241,0)</f>
        <v>0</v>
      </c>
      <c r="AE245" s="168">
        <f>IF(AE194=4,AD241,0)</f>
        <v>0</v>
      </c>
      <c r="AF245" s="115">
        <f>SUM(B245:AE245)</f>
        <v>0</v>
      </c>
      <c r="AT245" s="513"/>
      <c r="AU245" s="513"/>
      <c r="AV245" s="513"/>
      <c r="AW245" s="514"/>
      <c r="AX245" s="513"/>
      <c r="AY245" s="513"/>
    </row>
    <row r="246" spans="1:54" s="115" customFormat="1" ht="12.75" hidden="1" customHeight="1">
      <c r="A246" s="115" t="s">
        <v>47</v>
      </c>
      <c r="B246" s="115">
        <f>IF(B194=5,C241,0)</f>
        <v>0</v>
      </c>
      <c r="D246" s="168">
        <f>IF(D194=5,C241,0)</f>
        <v>0</v>
      </c>
      <c r="E246" s="115">
        <f>IF(E194=5,F241,0)</f>
        <v>0</v>
      </c>
      <c r="G246" s="168">
        <f>IF(G194=5,F241,0)</f>
        <v>0</v>
      </c>
      <c r="H246" s="115">
        <f>IF(H194=5,I241,0)</f>
        <v>0</v>
      </c>
      <c r="J246" s="168">
        <f>IF(J194=5,I241,0)</f>
        <v>0</v>
      </c>
      <c r="K246" s="115">
        <f>IF(K194=5,L241,0)</f>
        <v>0</v>
      </c>
      <c r="M246" s="168">
        <f>IF(M194=5,L241,0)</f>
        <v>0</v>
      </c>
      <c r="N246" s="115">
        <f>IF(N194=5,O241,0)</f>
        <v>0</v>
      </c>
      <c r="P246" s="168">
        <f>IF(P194=5,O241,0)</f>
        <v>0</v>
      </c>
      <c r="Q246" s="115">
        <f>IF(Q194=5,R241,0)</f>
        <v>0</v>
      </c>
      <c r="S246" s="168">
        <f>IF(S194=5,R241,0)</f>
        <v>0</v>
      </c>
      <c r="T246" s="115">
        <f>IF(T194=5,U241,0)</f>
        <v>0</v>
      </c>
      <c r="V246" s="168">
        <f>IF(V194=5,U241,0)</f>
        <v>0</v>
      </c>
      <c r="W246" s="115">
        <f>IF(W194=5,X241,0)</f>
        <v>0</v>
      </c>
      <c r="Y246" s="168">
        <f>IF(Y194=5,X241,0)</f>
        <v>0</v>
      </c>
      <c r="Z246" s="115">
        <f>IF(Z194=5,AA241,0)</f>
        <v>0</v>
      </c>
      <c r="AB246" s="168">
        <f>IF(AB194=5,AA241,0)</f>
        <v>0</v>
      </c>
      <c r="AC246" s="115">
        <f>IF(AC194=5,AD241,0)</f>
        <v>0</v>
      </c>
      <c r="AE246" s="168">
        <f>IF(AE194=5,AD241,0)</f>
        <v>0</v>
      </c>
      <c r="AF246" s="115">
        <f>SUM(B246:AE246)</f>
        <v>0</v>
      </c>
      <c r="AT246" s="513"/>
      <c r="AU246" s="513"/>
      <c r="AV246" s="513"/>
      <c r="AW246" s="514"/>
      <c r="AX246" s="513"/>
      <c r="AY246" s="513"/>
    </row>
    <row r="247" spans="1:54" hidden="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c r="W247" s="118"/>
      <c r="X247" s="118"/>
      <c r="Y247" s="118"/>
      <c r="Z247" s="118"/>
      <c r="AA247" s="118"/>
      <c r="AB247" s="118"/>
      <c r="AC247" s="118"/>
      <c r="AD247" s="118"/>
      <c r="AE247" s="118"/>
      <c r="AF247" s="118"/>
      <c r="AG247" s="118"/>
      <c r="AH247" s="118"/>
      <c r="AI247" s="118"/>
      <c r="AJ247" s="118"/>
      <c r="AK247" s="118"/>
      <c r="AL247" s="118"/>
      <c r="AM247" s="118"/>
      <c r="AN247" s="119"/>
      <c r="AO247" s="119"/>
      <c r="AP247" s="119"/>
      <c r="AQ247" s="119"/>
      <c r="AR247" s="117"/>
      <c r="AS247" s="117"/>
      <c r="AT247" s="513"/>
      <c r="AU247" s="513"/>
      <c r="AV247" s="513"/>
      <c r="BB247" s="39"/>
    </row>
    <row r="248" spans="1:54" s="117" customFormat="1" hidden="1">
      <c r="A248" s="34"/>
      <c r="B248" s="34"/>
      <c r="C248" s="34" t="s">
        <v>223</v>
      </c>
      <c r="D248" s="34">
        <v>1</v>
      </c>
      <c r="E248" s="34"/>
      <c r="F248" s="34"/>
      <c r="G248" s="34">
        <v>2</v>
      </c>
      <c r="H248" s="34"/>
      <c r="I248" s="34"/>
      <c r="J248" s="34">
        <v>3</v>
      </c>
      <c r="K248" s="34"/>
      <c r="L248" s="34"/>
      <c r="M248" s="34">
        <v>4</v>
      </c>
      <c r="N248" s="34"/>
      <c r="O248" s="34"/>
      <c r="P248" s="34">
        <v>5</v>
      </c>
      <c r="Q248" s="34"/>
      <c r="R248" s="34"/>
      <c r="S248" s="34">
        <v>6</v>
      </c>
      <c r="T248" s="34"/>
      <c r="U248" s="34"/>
      <c r="V248" s="34">
        <v>7</v>
      </c>
      <c r="W248" s="34"/>
      <c r="X248" s="34"/>
      <c r="Y248" s="34">
        <v>8</v>
      </c>
      <c r="Z248" s="34"/>
      <c r="AA248" s="34"/>
      <c r="AB248" s="34">
        <v>9</v>
      </c>
      <c r="AC248" s="34"/>
      <c r="AD248" s="34"/>
      <c r="AE248" s="34">
        <v>10</v>
      </c>
      <c r="AF248" s="3"/>
      <c r="AG248" s="34"/>
      <c r="AI248" s="169"/>
      <c r="AJ248" s="3"/>
      <c r="AK248" s="3"/>
      <c r="AL248" s="3"/>
      <c r="AM248" s="3"/>
      <c r="AN248" s="3"/>
      <c r="AO248" s="3"/>
      <c r="AT248" s="515" t="s">
        <v>224</v>
      </c>
      <c r="AU248" s="513"/>
      <c r="AV248" s="513"/>
      <c r="AW248" s="514"/>
      <c r="AX248" s="513"/>
      <c r="AY248" s="513"/>
      <c r="BB248" s="170"/>
    </row>
    <row r="249" spans="1:54" s="117" customFormat="1" hidden="1">
      <c r="A249" s="171">
        <v>1</v>
      </c>
      <c r="B249" s="171" t="str">
        <f>E178</f>
        <v>SC Midlands KP White</v>
      </c>
      <c r="C249" s="171">
        <f>VLOOKUP(B249,AU$3:BB$33,3,FALSE)</f>
        <v>1162.1331471608514</v>
      </c>
      <c r="D249" s="171">
        <f>IF(B242,B257,IF(D242,D257,C249))</f>
        <v>1162.9447558771326</v>
      </c>
      <c r="E249" s="171"/>
      <c r="F249" s="171"/>
      <c r="G249" s="171">
        <f>IF(E242,E257,IF(G242,G257,D249))</f>
        <v>1162.9447558771326</v>
      </c>
      <c r="H249" s="171"/>
      <c r="I249" s="171"/>
      <c r="J249" s="171">
        <f>IF(H242,H257,IF(J242,J257,G249))</f>
        <v>1186.8787697632317</v>
      </c>
      <c r="K249" s="171"/>
      <c r="L249" s="171"/>
      <c r="M249" s="171">
        <f>IF(K242,K257,IF(M242,M257,J249))</f>
        <v>1186.8787697632317</v>
      </c>
      <c r="N249" s="171"/>
      <c r="O249" s="171"/>
      <c r="P249" s="171">
        <f>IF(N242,N257,IF(P242,P257,M249))</f>
        <v>1186.8787697632317</v>
      </c>
      <c r="Q249" s="171"/>
      <c r="R249" s="171"/>
      <c r="S249" s="171">
        <f>IF(Q242,Q257,IF(S242,S257,P249))</f>
        <v>1186.8787697632317</v>
      </c>
      <c r="T249" s="171"/>
      <c r="U249" s="171"/>
      <c r="V249" s="171">
        <f>IF(T242,T257,IF(V242,V257,S249))</f>
        <v>1186.8787697632317</v>
      </c>
      <c r="W249" s="171"/>
      <c r="X249" s="171"/>
      <c r="Y249" s="171">
        <f>IF(W242,W257,IF(Y242,Y257,V249))</f>
        <v>1186.8787697632317</v>
      </c>
      <c r="Z249" s="171"/>
      <c r="AA249" s="171"/>
      <c r="AB249" s="171">
        <f>IF(Z242,Z257,IF(AB242,AB257,Y249))</f>
        <v>1186.8787697632317</v>
      </c>
      <c r="AC249" s="171"/>
      <c r="AD249" s="171"/>
      <c r="AE249" s="171">
        <f>IF(AC242,AC257,IF(AE242,AE257,AB249))</f>
        <v>1186.8787697632317</v>
      </c>
      <c r="AF249" s="3"/>
      <c r="AG249" s="3"/>
      <c r="AJ249" s="3"/>
      <c r="AK249" s="3"/>
      <c r="AL249" s="3"/>
      <c r="AM249" s="3"/>
      <c r="AN249" s="3"/>
      <c r="AO249" s="3"/>
      <c r="AT249" s="513" t="str">
        <f>B249</f>
        <v>SC Midlands KP White</v>
      </c>
      <c r="AU249" s="513">
        <f>AE249</f>
        <v>1186.8787697632317</v>
      </c>
      <c r="AV249" s="513"/>
      <c r="AW249" s="514"/>
      <c r="AX249" s="513"/>
      <c r="AY249" s="513"/>
      <c r="BB249" s="170"/>
    </row>
    <row r="250" spans="1:54" s="117" customFormat="1" hidden="1">
      <c r="A250" s="171">
        <v>2</v>
      </c>
      <c r="B250" s="171" t="str">
        <f>E180</f>
        <v>Columbia SC Starlings 12</v>
      </c>
      <c r="C250" s="171">
        <f>VLOOKUP(B250,AU$3:BB$33,3,FALSE)</f>
        <v>1179.7721457596278</v>
      </c>
      <c r="D250" s="171">
        <f>IF(B243,B257,IF(D243,D257,C250))</f>
        <v>1178.9605370433467</v>
      </c>
      <c r="E250" s="171"/>
      <c r="F250" s="171"/>
      <c r="G250" s="171">
        <f>IF(E243,E257,IF(G243,G257,D250))</f>
        <v>1169.9965894145842</v>
      </c>
      <c r="H250" s="171"/>
      <c r="I250" s="171"/>
      <c r="J250" s="171">
        <f>IF(H243,H257,IF(J243,J257,G250))</f>
        <v>1169.9965894145842</v>
      </c>
      <c r="K250" s="171"/>
      <c r="L250" s="171"/>
      <c r="M250" s="171">
        <f>IF(K243,K257,IF(M243,M257,J250))</f>
        <v>1169.9965894145842</v>
      </c>
      <c r="N250" s="171"/>
      <c r="O250" s="171"/>
      <c r="P250" s="171">
        <f>IF(N243,N257,IF(P243,P257,M250))</f>
        <v>1169.9965894145842</v>
      </c>
      <c r="Q250" s="171"/>
      <c r="R250" s="171"/>
      <c r="S250" s="171">
        <f>IF(Q243,Q257,IF(S243,S257,P250))</f>
        <v>1169.9965894145842</v>
      </c>
      <c r="T250" s="171"/>
      <c r="U250" s="171"/>
      <c r="V250" s="171">
        <f>IF(T243,T257,IF(V243,V257,S250))</f>
        <v>1169.9965894145842</v>
      </c>
      <c r="W250" s="171"/>
      <c r="X250" s="171"/>
      <c r="Y250" s="171">
        <f>IF(W243,W257,IF(Y243,Y257,V250))</f>
        <v>1169.9965894145842</v>
      </c>
      <c r="Z250" s="171"/>
      <c r="AA250" s="171"/>
      <c r="AB250" s="171">
        <f>IF(Z243,Z257,IF(AB243,AB257,Y250))</f>
        <v>1169.9965894145842</v>
      </c>
      <c r="AC250" s="171"/>
      <c r="AD250" s="171"/>
      <c r="AE250" s="171">
        <f>IF(AC243,AC257,IF(AE243,AE257,AB250))</f>
        <v>1169.9965894145842</v>
      </c>
      <c r="AF250" s="3"/>
      <c r="AG250" s="3"/>
      <c r="AJ250" s="3"/>
      <c r="AL250" s="3"/>
      <c r="AM250" s="3"/>
      <c r="AN250" s="3"/>
      <c r="AO250" s="3"/>
      <c r="AT250" s="513" t="str">
        <f>B250</f>
        <v>Columbia SC Starlings 12</v>
      </c>
      <c r="AU250" s="513">
        <f>AE250</f>
        <v>1169.9965894145842</v>
      </c>
      <c r="AV250" s="513"/>
      <c r="AW250" s="514"/>
      <c r="AX250" s="513"/>
      <c r="AY250" s="513"/>
      <c r="BB250" s="170"/>
    </row>
    <row r="251" spans="1:54" s="117" customFormat="1" hidden="1">
      <c r="A251" s="171">
        <v>3</v>
      </c>
      <c r="B251" s="171" t="str">
        <f>E182</f>
        <v>Magnum 12 Red</v>
      </c>
      <c r="C251" s="171">
        <f>VLOOKUP(B251,AU$3:BB$33,3,FALSE)</f>
        <v>1342.9240357109743</v>
      </c>
      <c r="D251" s="171">
        <f>IF(B244,B257,IF(D244,D257,C251))</f>
        <v>1342.9240357109743</v>
      </c>
      <c r="E251" s="171"/>
      <c r="F251" s="171"/>
      <c r="G251" s="171">
        <f>IF(E244,E257,IF(G244,G257,D251))</f>
        <v>1351.8879833397368</v>
      </c>
      <c r="H251" s="171"/>
      <c r="I251" s="171"/>
      <c r="J251" s="171">
        <f>IF(H244,H257,IF(J244,J257,G251))</f>
        <v>1327.9539694536377</v>
      </c>
      <c r="K251" s="171"/>
      <c r="L251" s="171"/>
      <c r="M251" s="171">
        <f>IF(K244,K257,IF(M244,M257,J251))</f>
        <v>1327.9539694536377</v>
      </c>
      <c r="N251" s="171"/>
      <c r="O251" s="171"/>
      <c r="P251" s="171">
        <f>IF(N244,N257,IF(P244,P257,M251))</f>
        <v>1327.9539694536377</v>
      </c>
      <c r="Q251" s="171"/>
      <c r="R251" s="171"/>
      <c r="S251" s="171">
        <f>IF(Q244,Q257,IF(S244,S257,P251))</f>
        <v>1327.9539694536377</v>
      </c>
      <c r="T251" s="171"/>
      <c r="U251" s="171"/>
      <c r="V251" s="171">
        <f>IF(T244,T257,IF(V244,V257,S251))</f>
        <v>1327.9539694536377</v>
      </c>
      <c r="W251" s="171"/>
      <c r="X251" s="171"/>
      <c r="Y251" s="171">
        <f>IF(W244,W257,IF(Y244,Y257,V251))</f>
        <v>1327.9539694536377</v>
      </c>
      <c r="Z251" s="171"/>
      <c r="AA251" s="171"/>
      <c r="AB251" s="171">
        <f>IF(Z244,Z257,IF(AB244,AB257,Y251))</f>
        <v>1327.9539694536377</v>
      </c>
      <c r="AC251" s="171"/>
      <c r="AD251" s="171"/>
      <c r="AE251" s="171">
        <f>IF(AC244,AC257,IF(AE244,AE257,AB251))</f>
        <v>1327.9539694536377</v>
      </c>
      <c r="AF251" s="3"/>
      <c r="AG251" s="3"/>
      <c r="AJ251" s="3"/>
      <c r="AL251" s="3"/>
      <c r="AM251" s="3"/>
      <c r="AN251" s="3"/>
      <c r="AO251" s="3"/>
      <c r="AT251" s="513" t="str">
        <f>B251</f>
        <v>Magnum 12 Red</v>
      </c>
      <c r="AU251" s="513">
        <f>AE251</f>
        <v>1327.9539694536377</v>
      </c>
      <c r="AV251" s="513"/>
      <c r="AW251" s="514"/>
      <c r="AX251" s="513"/>
      <c r="AY251" s="513"/>
      <c r="BB251" s="170"/>
    </row>
    <row r="252" spans="1:54" s="117" customFormat="1" hidden="1">
      <c r="A252" s="171">
        <v>4</v>
      </c>
      <c r="B252" s="171" t="str">
        <f>E184</f>
        <v>Team 10</v>
      </c>
      <c r="C252" s="171">
        <f>VLOOKUP(B252,AU$3:BB$33,3,FALSE)</f>
        <v>2010</v>
      </c>
      <c r="D252" s="171">
        <f>IF(B245,B257,IF(D245,D257,C252))</f>
        <v>2010</v>
      </c>
      <c r="E252" s="171"/>
      <c r="F252" s="171"/>
      <c r="G252" s="171">
        <f>IF(E245,E257,IF(G245,G257,D252))</f>
        <v>2010</v>
      </c>
      <c r="H252" s="171"/>
      <c r="I252" s="171"/>
      <c r="J252" s="171">
        <f>IF(H245,H257,IF(J245,J257,G252))</f>
        <v>2010</v>
      </c>
      <c r="K252" s="171"/>
      <c r="L252" s="171"/>
      <c r="M252" s="171">
        <f>IF(K245,K257,IF(M245,M257,J252))</f>
        <v>2010</v>
      </c>
      <c r="N252" s="171"/>
      <c r="O252" s="171"/>
      <c r="P252" s="171">
        <f>IF(N245,N257,IF(P245,P257,M252))</f>
        <v>2010</v>
      </c>
      <c r="Q252" s="171"/>
      <c r="R252" s="171"/>
      <c r="S252" s="171">
        <f>IF(Q245,Q257,IF(S245,S257,P252))</f>
        <v>2010</v>
      </c>
      <c r="T252" s="171"/>
      <c r="U252" s="171"/>
      <c r="V252" s="171">
        <f>IF(T245,T257,IF(V245,V257,S252))</f>
        <v>2010</v>
      </c>
      <c r="W252" s="171"/>
      <c r="X252" s="171"/>
      <c r="Y252" s="171">
        <f>IF(W245,W257,IF(Y245,Y257,V252))</f>
        <v>2010</v>
      </c>
      <c r="Z252" s="171"/>
      <c r="AA252" s="171"/>
      <c r="AB252" s="171">
        <f>IF(Z245,Z257,IF(AB245,AB257,Y252))</f>
        <v>2010</v>
      </c>
      <c r="AC252" s="171"/>
      <c r="AD252" s="171"/>
      <c r="AE252" s="171">
        <f>IF(AC245,AC257,IF(AE245,AE257,AB252))</f>
        <v>2010</v>
      </c>
      <c r="AF252" s="3"/>
      <c r="AG252" s="3"/>
      <c r="AJ252" s="3"/>
      <c r="AL252" s="3"/>
      <c r="AM252" s="3"/>
      <c r="AN252" s="3"/>
      <c r="AO252" s="3"/>
      <c r="AT252" s="513" t="str">
        <f>B252</f>
        <v>Team 10</v>
      </c>
      <c r="AU252" s="513">
        <f>AE252</f>
        <v>2010</v>
      </c>
      <c r="AV252" s="513"/>
      <c r="AW252" s="514"/>
      <c r="AX252" s="513"/>
      <c r="AY252" s="513"/>
      <c r="BB252" s="170"/>
    </row>
    <row r="253" spans="1:54" s="117" customFormat="1" hidden="1">
      <c r="A253" s="171">
        <v>5</v>
      </c>
      <c r="B253" s="171">
        <f>E186</f>
        <v>0</v>
      </c>
      <c r="C253" s="171" t="e">
        <f>VLOOKUP(B253,AU$3:BB$33,3,FALSE)</f>
        <v>#N/A</v>
      </c>
      <c r="D253" s="171" t="e">
        <f>IF(B246,B257,IF(D246,D257,C253))</f>
        <v>#N/A</v>
      </c>
      <c r="E253" s="171"/>
      <c r="F253" s="171"/>
      <c r="G253" s="171" t="e">
        <f>IF(E246,E257,IF(G246,G257,D253))</f>
        <v>#N/A</v>
      </c>
      <c r="H253" s="171"/>
      <c r="I253" s="171"/>
      <c r="J253" s="171" t="e">
        <f>IF(H246,H257,IF(J246,J257,G253))</f>
        <v>#N/A</v>
      </c>
      <c r="K253" s="171"/>
      <c r="L253" s="171"/>
      <c r="M253" s="171" t="e">
        <f>IF(K246,K257,IF(M246,M257,J253))</f>
        <v>#N/A</v>
      </c>
      <c r="N253" s="171"/>
      <c r="O253" s="171"/>
      <c r="P253" s="171" t="e">
        <f>IF(N246,N257,IF(P246,P257,M253))</f>
        <v>#N/A</v>
      </c>
      <c r="Q253" s="171"/>
      <c r="R253" s="171"/>
      <c r="S253" s="171" t="e">
        <f>IF(Q246,Q257,IF(S246,S257,P253))</f>
        <v>#N/A</v>
      </c>
      <c r="T253" s="171"/>
      <c r="U253" s="171"/>
      <c r="V253" s="171" t="e">
        <f>IF(T246,T257,IF(V246,V257,S253))</f>
        <v>#N/A</v>
      </c>
      <c r="W253" s="171"/>
      <c r="X253" s="171"/>
      <c r="Y253" s="171" t="e">
        <f>IF(W246,W257,IF(Y246,Y257,V253))</f>
        <v>#N/A</v>
      </c>
      <c r="Z253" s="171"/>
      <c r="AA253" s="171"/>
      <c r="AB253" s="171" t="e">
        <f>IF(Z246,Z257,IF(AB246,AB257,Y253))</f>
        <v>#N/A</v>
      </c>
      <c r="AC253" s="171"/>
      <c r="AD253" s="171"/>
      <c r="AE253" s="171" t="e">
        <f>IF(AC246,AC257,IF(AE246,AE257,AB253))</f>
        <v>#N/A</v>
      </c>
      <c r="AF253" s="3"/>
      <c r="AG253" s="3"/>
      <c r="AJ253" s="3"/>
      <c r="AL253" s="3"/>
      <c r="AM253" s="3"/>
      <c r="AN253" s="3"/>
      <c r="AO253" s="3"/>
      <c r="AT253" s="513">
        <f>B253</f>
        <v>0</v>
      </c>
      <c r="AU253" s="513" t="e">
        <f>AE253</f>
        <v>#N/A</v>
      </c>
      <c r="AV253" s="513"/>
      <c r="AW253" s="514"/>
      <c r="AX253" s="513"/>
      <c r="AY253" s="513"/>
      <c r="BB253" s="170"/>
    </row>
    <row r="254" spans="1:54" s="117" customFormat="1" hidden="1">
      <c r="A254" s="171"/>
      <c r="B254" s="171"/>
      <c r="C254" s="171"/>
      <c r="D254" s="171"/>
      <c r="E254" s="171"/>
      <c r="F254" s="171"/>
      <c r="G254" s="171"/>
      <c r="H254" s="171"/>
      <c r="I254" s="171"/>
      <c r="J254" s="171"/>
      <c r="K254" s="171"/>
      <c r="L254" s="171"/>
      <c r="M254" s="171"/>
      <c r="N254" s="171"/>
      <c r="O254" s="171"/>
      <c r="P254" s="171"/>
      <c r="Q254" s="171"/>
      <c r="R254" s="171"/>
      <c r="S254" s="171"/>
      <c r="T254" s="171"/>
      <c r="U254" s="171"/>
      <c r="V254" s="171"/>
      <c r="W254" s="171"/>
      <c r="X254" s="171"/>
      <c r="Y254" s="171"/>
      <c r="Z254" s="171"/>
      <c r="AA254" s="171"/>
      <c r="AB254" s="171"/>
      <c r="AC254" s="171"/>
      <c r="AD254" s="171"/>
      <c r="AE254" s="171"/>
      <c r="AF254" s="3"/>
      <c r="AG254" s="3"/>
      <c r="AJ254" s="3"/>
      <c r="AL254" s="3"/>
      <c r="AM254" s="3"/>
      <c r="AN254" s="3"/>
      <c r="AO254" s="3"/>
      <c r="AT254" s="513"/>
      <c r="AU254" s="513"/>
      <c r="AV254" s="513"/>
      <c r="AW254" s="514"/>
      <c r="AX254" s="513"/>
      <c r="AY254" s="513"/>
      <c r="BB254" s="170"/>
    </row>
    <row r="255" spans="1:54" s="117" customFormat="1" hidden="1">
      <c r="A255" s="171" t="s">
        <v>225</v>
      </c>
      <c r="B255" s="171">
        <f>VLOOKUP(B194,$A249:$AE253,3,FALSE)</f>
        <v>1162.1331471608514</v>
      </c>
      <c r="C255" s="171">
        <v>1</v>
      </c>
      <c r="D255" s="171">
        <f>VLOOKUP(D194,$A249:$AE253,3,FALSE)</f>
        <v>1179.7721457596278</v>
      </c>
      <c r="E255" s="171">
        <f>VLOOKUP(E194,$A249:$AE253,4,FALSE)</f>
        <v>1178.9605370433467</v>
      </c>
      <c r="F255" s="171">
        <v>2</v>
      </c>
      <c r="G255" s="171">
        <f>VLOOKUP(G194,$A249:$AE253,4,FALSE)</f>
        <v>1342.9240357109743</v>
      </c>
      <c r="H255" s="171">
        <f>VLOOKUP(H194,$A249:$AE253,7,FALSE)</f>
        <v>1162.9447558771326</v>
      </c>
      <c r="I255" s="171">
        <v>3</v>
      </c>
      <c r="J255" s="171">
        <f>VLOOKUP(J194,$A249:$AE253,7,FALSE)</f>
        <v>1351.8879833397368</v>
      </c>
      <c r="K255" s="171" t="e">
        <f>VLOOKUP(K194,$A249:$AE253,10,FALSE)</f>
        <v>#N/A</v>
      </c>
      <c r="L255" s="171">
        <v>4</v>
      </c>
      <c r="M255" s="171" t="e">
        <f>VLOOKUP(M194,$A249:$AE253,10,FALSE)</f>
        <v>#N/A</v>
      </c>
      <c r="N255" s="171" t="e">
        <f>VLOOKUP(N194,$A249:$AE253,13,FALSE)</f>
        <v>#N/A</v>
      </c>
      <c r="O255" s="171">
        <v>5</v>
      </c>
      <c r="P255" s="171" t="e">
        <f>VLOOKUP(P194,$A249:$AE253,13,FALSE)</f>
        <v>#N/A</v>
      </c>
      <c r="Q255" s="171" t="e">
        <f>VLOOKUP(Q194,$A249:$AE253,16,FALSE)</f>
        <v>#N/A</v>
      </c>
      <c r="R255" s="171">
        <v>6</v>
      </c>
      <c r="S255" s="171" t="e">
        <f>VLOOKUP(S194,$A249:$AE253,16,FALSE)</f>
        <v>#N/A</v>
      </c>
      <c r="T255" s="171" t="e">
        <f>VLOOKUP(T194,$A249:$AE253,19,FALSE)</f>
        <v>#N/A</v>
      </c>
      <c r="U255" s="171">
        <v>7</v>
      </c>
      <c r="V255" s="171" t="e">
        <f>VLOOKUP(V194,$A249:$AE253,19,FALSE)</f>
        <v>#N/A</v>
      </c>
      <c r="W255" s="171" t="e">
        <f>VLOOKUP(W194,$A249:$AE253,22,FALSE)</f>
        <v>#N/A</v>
      </c>
      <c r="X255" s="171">
        <v>8</v>
      </c>
      <c r="Y255" s="171" t="e">
        <f>VLOOKUP(Y194,$A249:$AE253,22,FALSE)</f>
        <v>#N/A</v>
      </c>
      <c r="Z255" s="171" t="e">
        <f>VLOOKUP(Z194,$A249:$AE253,25,FALSE)</f>
        <v>#N/A</v>
      </c>
      <c r="AA255" s="171">
        <v>9</v>
      </c>
      <c r="AB255" s="171" t="e">
        <f>VLOOKUP(AB194,$A249:$AE253,25,FALSE)</f>
        <v>#N/A</v>
      </c>
      <c r="AC255" s="171" t="e">
        <f>VLOOKUP(AC194,$A249:$AE253,28,FALSE)</f>
        <v>#N/A</v>
      </c>
      <c r="AD255" s="171">
        <v>10</v>
      </c>
      <c r="AE255" s="171" t="e">
        <f>VLOOKUP(AE194,$A249:$AE253,28,FALSE)</f>
        <v>#N/A</v>
      </c>
      <c r="AF255" s="3"/>
      <c r="AG255" s="118"/>
      <c r="AH255" s="118"/>
      <c r="AI255" s="118"/>
      <c r="AJ255" s="118"/>
      <c r="AK255" s="118"/>
      <c r="AL255" s="118"/>
      <c r="AM255" s="118"/>
      <c r="AN255" s="119"/>
      <c r="AO255" s="119"/>
      <c r="AP255" s="119"/>
      <c r="AQ255" s="119"/>
      <c r="AT255" s="513"/>
      <c r="AU255" s="513"/>
      <c r="AV255" s="513"/>
      <c r="AW255" s="514"/>
      <c r="AX255" s="513"/>
      <c r="AY255" s="513"/>
      <c r="BB255" s="170"/>
    </row>
    <row r="256" spans="1:54" s="176" customFormat="1" hidden="1">
      <c r="A256" s="172" t="s">
        <v>226</v>
      </c>
      <c r="B256" s="172">
        <f>1/(1+(10^-((B255-D255)/400)))*(B206+D206)</f>
        <v>0.94927445523243092</v>
      </c>
      <c r="C256" s="172"/>
      <c r="D256" s="172">
        <f>1/(1+(10^-((D255-B255)/400)))*(B206+D206)</f>
        <v>1.050725544767569</v>
      </c>
      <c r="E256" s="172">
        <f>1/(1+(10^-((E255-G255)/400)))*(E206+G206)</f>
        <v>0.56024672679765997</v>
      </c>
      <c r="F256" s="172"/>
      <c r="G256" s="172">
        <f>1/(1+(10^-((G255-E255)/400)))*(E206+G206)</f>
        <v>1.4397532732023399</v>
      </c>
      <c r="H256" s="172">
        <f>1/(1+(10^-((H255-J255)/400)))*(H206+J206)</f>
        <v>0.5041241321188098</v>
      </c>
      <c r="I256" s="172"/>
      <c r="J256" s="172">
        <f>1/(1+(10^-((J255-H255)/400)))*(H206+J206)</f>
        <v>1.4958758678811901</v>
      </c>
      <c r="K256" s="172" t="e">
        <f>1/(1+(10^-((K255-M255)/400)))*(K206+M206)</f>
        <v>#N/A</v>
      </c>
      <c r="L256" s="172"/>
      <c r="M256" s="172" t="e">
        <f>1/(1+(10^-((M255-K255)/400)))*(K206+M206)</f>
        <v>#N/A</v>
      </c>
      <c r="N256" s="172" t="e">
        <f>1/(1+(10^-((N255-P255)/400)))*(N206+P206)</f>
        <v>#N/A</v>
      </c>
      <c r="O256" s="172"/>
      <c r="P256" s="172" t="e">
        <f>1/(1+(10^-((P255-N255)/400)))*(N206+P206)</f>
        <v>#N/A</v>
      </c>
      <c r="Q256" s="172" t="e">
        <f>1/(1+(10^-((Q255-S255)/400)))*(Q206+S206)</f>
        <v>#N/A</v>
      </c>
      <c r="R256" s="172"/>
      <c r="S256" s="172" t="e">
        <f>1/(1+(10^-((S255-Q255)/400)))*(Q206+S206)</f>
        <v>#N/A</v>
      </c>
      <c r="T256" s="172" t="e">
        <f>1/(1+(10^-((T255-V255)/400)))*(T206+V206)</f>
        <v>#N/A</v>
      </c>
      <c r="U256" s="172"/>
      <c r="V256" s="172" t="e">
        <f>1/(1+(10^-((V255-T255)/400)))*(T206+V206)</f>
        <v>#N/A</v>
      </c>
      <c r="W256" s="172" t="e">
        <f>1/(1+(10^-((W255-Y255)/400)))*(W206+Y206)</f>
        <v>#N/A</v>
      </c>
      <c r="X256" s="172"/>
      <c r="Y256" s="172" t="e">
        <f>1/(1+(10^-((Y255-W255)/400)))*(W206+Y206)</f>
        <v>#N/A</v>
      </c>
      <c r="Z256" s="172" t="e">
        <f>1/(1+(10^-((Z255-AB255)/400)))*(Z206+AB206)</f>
        <v>#N/A</v>
      </c>
      <c r="AA256" s="172"/>
      <c r="AB256" s="172" t="e">
        <f>1/(1+(10^-((AB255-Z255)/400)))*(Z206+AB206)</f>
        <v>#N/A</v>
      </c>
      <c r="AC256" s="172" t="e">
        <f>1/(1+(10^-((AC255-AE255)/400)))*(AC206+AE206)</f>
        <v>#N/A</v>
      </c>
      <c r="AD256" s="172"/>
      <c r="AE256" s="172" t="e">
        <f>1/(1+(10^-((AE255-AC255)/400)))*(AC206+AE206)</f>
        <v>#N/A</v>
      </c>
      <c r="AF256" s="173"/>
      <c r="AG256" s="174"/>
      <c r="AH256" s="174"/>
      <c r="AI256" s="174"/>
      <c r="AJ256" s="174"/>
      <c r="AK256" s="174"/>
      <c r="AL256" s="174"/>
      <c r="AM256" s="174"/>
      <c r="AN256" s="175"/>
      <c r="AO256" s="175"/>
      <c r="AP256" s="175"/>
      <c r="AQ256" s="175"/>
      <c r="AT256" s="516"/>
      <c r="AU256" s="516"/>
      <c r="AV256" s="516"/>
      <c r="AW256" s="517"/>
      <c r="AX256" s="516"/>
      <c r="AY256" s="516"/>
      <c r="BB256" s="177"/>
    </row>
    <row r="257" spans="1:54" s="182" customFormat="1" hidden="1">
      <c r="A257" s="178" t="s">
        <v>227</v>
      </c>
      <c r="B257" s="178">
        <f>B255+(B206-B256)*$BA$1</f>
        <v>1162.9447558771326</v>
      </c>
      <c r="C257" s="178"/>
      <c r="D257" s="178">
        <f>D255+(D206-D256)*$BA$1</f>
        <v>1178.9605370433467</v>
      </c>
      <c r="E257" s="178">
        <f>E255+(E206-E256)*$BA$1</f>
        <v>1169.9965894145842</v>
      </c>
      <c r="F257" s="178"/>
      <c r="G257" s="178">
        <f>G255+(G206-G256)*$BA$1</f>
        <v>1351.8879833397368</v>
      </c>
      <c r="H257" s="178">
        <f>H255+(H206-H256)*$BA$1</f>
        <v>1186.8787697632317</v>
      </c>
      <c r="I257" s="178"/>
      <c r="J257" s="178">
        <f>J255+(J206-J256)*$BA$1</f>
        <v>1327.9539694536377</v>
      </c>
      <c r="K257" s="178" t="e">
        <f>K255+(K206-K256)*$BA$1</f>
        <v>#N/A</v>
      </c>
      <c r="L257" s="178"/>
      <c r="M257" s="178" t="e">
        <f>M255+(M206-M256)*$BA$1</f>
        <v>#N/A</v>
      </c>
      <c r="N257" s="178" t="e">
        <f>N255+(N206-N256)*$BA$1</f>
        <v>#N/A</v>
      </c>
      <c r="O257" s="178"/>
      <c r="P257" s="178" t="e">
        <f>P255+(P206-P256)*$BA$1</f>
        <v>#N/A</v>
      </c>
      <c r="Q257" s="178" t="e">
        <f>Q255+(Q206-Q256)*$BA$1</f>
        <v>#N/A</v>
      </c>
      <c r="R257" s="178"/>
      <c r="S257" s="178" t="e">
        <f>S255+(S206-S256)*$BA$1</f>
        <v>#N/A</v>
      </c>
      <c r="T257" s="178" t="e">
        <f>T255+(T206-T256)*$BA$1</f>
        <v>#N/A</v>
      </c>
      <c r="U257" s="178"/>
      <c r="V257" s="178" t="e">
        <f>V255+(V206-V256)*$BA$1</f>
        <v>#N/A</v>
      </c>
      <c r="W257" s="178" t="e">
        <f>W255+(W206-W256)*$BA$1</f>
        <v>#N/A</v>
      </c>
      <c r="X257" s="178"/>
      <c r="Y257" s="178" t="e">
        <f>Y255+(Y206-Y256)*$BA$1</f>
        <v>#N/A</v>
      </c>
      <c r="Z257" s="178" t="e">
        <f>Z255+(Z206-Z256)*$BA$1</f>
        <v>#N/A</v>
      </c>
      <c r="AA257" s="178"/>
      <c r="AB257" s="178" t="e">
        <f>AB255+(AB206-AB256)*$BA$1</f>
        <v>#N/A</v>
      </c>
      <c r="AC257" s="178" t="e">
        <f>AC255+(AC206-AC256)*$BA$1</f>
        <v>#N/A</v>
      </c>
      <c r="AD257" s="178"/>
      <c r="AE257" s="178" t="e">
        <f>AE255+(AE206-AE256)*$BA$1</f>
        <v>#N/A</v>
      </c>
      <c r="AF257" s="179"/>
      <c r="AG257" s="180"/>
      <c r="AH257" s="180"/>
      <c r="AI257" s="180"/>
      <c r="AJ257" s="180"/>
      <c r="AK257" s="180"/>
      <c r="AL257" s="180"/>
      <c r="AM257" s="180"/>
      <c r="AN257" s="181"/>
      <c r="AO257" s="181"/>
      <c r="AP257" s="181"/>
      <c r="AQ257" s="181"/>
      <c r="AT257" s="518"/>
      <c r="AU257" s="518"/>
      <c r="AV257" s="518"/>
      <c r="AW257" s="519"/>
      <c r="AX257" s="518"/>
      <c r="AY257" s="518"/>
      <c r="BB257" s="183"/>
    </row>
    <row r="258" spans="1:54" s="182" customFormat="1" hidden="1">
      <c r="A258" s="178"/>
      <c r="B258" s="178"/>
      <c r="C258" s="178"/>
      <c r="D258" s="178"/>
      <c r="E258" s="178"/>
      <c r="F258" s="178"/>
      <c r="G258" s="178"/>
      <c r="H258" s="178"/>
      <c r="I258" s="178"/>
      <c r="J258" s="178"/>
      <c r="K258" s="178"/>
      <c r="L258" s="178"/>
      <c r="M258" s="178"/>
      <c r="N258" s="178"/>
      <c r="O258" s="178"/>
      <c r="P258" s="178"/>
      <c r="Q258" s="178"/>
      <c r="R258" s="178"/>
      <c r="S258" s="178"/>
      <c r="T258" s="178"/>
      <c r="U258" s="178"/>
      <c r="V258" s="178"/>
      <c r="W258" s="178"/>
      <c r="X258" s="178"/>
      <c r="Y258" s="178"/>
      <c r="Z258" s="178"/>
      <c r="AA258" s="178"/>
      <c r="AB258" s="178"/>
      <c r="AC258" s="178"/>
      <c r="AD258" s="178"/>
      <c r="AE258" s="178"/>
      <c r="AF258" s="179"/>
      <c r="AG258" s="180"/>
      <c r="AH258" s="180"/>
      <c r="AI258" s="180"/>
      <c r="AJ258" s="180"/>
      <c r="AK258" s="180"/>
      <c r="AL258" s="180"/>
      <c r="AM258" s="180"/>
      <c r="AN258" s="181"/>
      <c r="AO258" s="181"/>
      <c r="AP258" s="181"/>
      <c r="AQ258" s="181"/>
      <c r="AT258" s="518"/>
      <c r="AU258" s="518"/>
      <c r="AV258" s="518"/>
      <c r="AW258" s="519"/>
      <c r="AX258" s="518"/>
      <c r="AY258" s="518"/>
      <c r="BB258" s="183"/>
    </row>
    <row r="259" spans="1:54" s="117" customFormat="1">
      <c r="A259" s="393" t="str">
        <f>IF($AK180=1,"Pool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Tiebreaker : 1) Games Won vs Lost (if 3 way tie then #5)  2) Head to Head  3) Head to Head Net Points  4) Game Win %  5) Total Pool Net Points  6) Flip a Coin</v>
      </c>
      <c r="B259" s="393"/>
      <c r="C259" s="393"/>
      <c r="D259" s="393"/>
      <c r="E259" s="393"/>
      <c r="F259" s="393"/>
      <c r="G259" s="393"/>
      <c r="H259" s="393"/>
      <c r="I259" s="393"/>
      <c r="J259" s="393"/>
      <c r="K259" s="393"/>
      <c r="L259" s="393"/>
      <c r="M259" s="393"/>
      <c r="N259" s="393"/>
      <c r="O259" s="393"/>
      <c r="P259" s="393"/>
      <c r="Q259" s="393"/>
      <c r="R259" s="393"/>
      <c r="S259" s="393"/>
      <c r="T259" s="393"/>
      <c r="U259" s="393"/>
      <c r="V259" s="393"/>
      <c r="W259" s="393"/>
      <c r="X259" s="393"/>
      <c r="Y259" s="393"/>
      <c r="Z259" s="393"/>
      <c r="AA259" s="393"/>
      <c r="AB259" s="393"/>
      <c r="AC259" s="393"/>
      <c r="AD259" s="393"/>
      <c r="AE259" s="393"/>
      <c r="AF259" s="393"/>
      <c r="AG259" s="393"/>
      <c r="AH259" s="393"/>
      <c r="AI259" s="393"/>
      <c r="AJ259" s="393"/>
      <c r="AK259" s="393"/>
      <c r="AL259" s="393"/>
      <c r="AM259" s="394"/>
      <c r="AN259" s="394"/>
      <c r="AO259" s="394"/>
      <c r="AP259" s="394"/>
      <c r="AT259" s="513"/>
      <c r="AU259" s="513"/>
      <c r="AV259" s="513"/>
      <c r="AW259" s="514"/>
      <c r="AX259" s="513"/>
      <c r="AY259" s="513"/>
    </row>
    <row r="260" spans="1:54" s="117" customFormat="1">
      <c r="A260" s="395"/>
      <c r="B260" s="395"/>
      <c r="C260" s="395"/>
      <c r="D260" s="395"/>
      <c r="E260" s="395"/>
      <c r="F260" s="395"/>
      <c r="G260" s="395"/>
      <c r="H260" s="395"/>
      <c r="I260" s="395"/>
      <c r="J260" s="395"/>
      <c r="K260" s="395"/>
      <c r="L260" s="395"/>
      <c r="M260" s="395"/>
      <c r="N260" s="395"/>
      <c r="O260" s="395"/>
      <c r="P260" s="395"/>
      <c r="Q260" s="395"/>
      <c r="R260" s="395"/>
      <c r="S260" s="395"/>
      <c r="T260" s="395"/>
      <c r="U260" s="395"/>
      <c r="V260" s="395"/>
      <c r="W260" s="395"/>
      <c r="X260" s="395"/>
      <c r="Y260" s="395"/>
      <c r="Z260" s="395"/>
      <c r="AA260" s="395"/>
      <c r="AB260" s="395"/>
      <c r="AC260" s="395"/>
      <c r="AD260" s="395"/>
      <c r="AE260" s="395"/>
      <c r="AF260" s="395"/>
      <c r="AG260" s="395"/>
      <c r="AH260" s="395"/>
      <c r="AI260" s="395"/>
      <c r="AJ260" s="395"/>
      <c r="AK260" s="395"/>
      <c r="AL260" s="395"/>
      <c r="AM260" s="395"/>
      <c r="AN260" s="395"/>
      <c r="AO260" s="395"/>
      <c r="AP260" s="395"/>
      <c r="AQ260" s="395"/>
      <c r="AT260" s="513"/>
      <c r="AU260" s="513"/>
      <c r="AV260" s="513"/>
      <c r="AW260" s="514"/>
      <c r="AX260" s="513"/>
      <c r="AY260" s="513"/>
    </row>
    <row r="261" spans="1:54" ht="21" thickBot="1">
      <c r="A261" s="396" t="s">
        <v>230</v>
      </c>
      <c r="B261" s="396"/>
      <c r="C261" s="396"/>
      <c r="D261" s="396"/>
      <c r="E261" s="396"/>
      <c r="F261" s="396"/>
      <c r="G261" s="396"/>
      <c r="H261" s="396"/>
      <c r="I261" s="396"/>
      <c r="J261" s="396"/>
      <c r="K261" s="396"/>
      <c r="L261" s="396"/>
      <c r="M261" s="396"/>
      <c r="N261" s="396"/>
      <c r="O261" s="396"/>
      <c r="P261" s="396"/>
      <c r="Q261" s="396"/>
      <c r="R261" s="396"/>
      <c r="S261" s="396"/>
      <c r="T261" s="396"/>
      <c r="U261" s="396"/>
      <c r="V261" s="396"/>
      <c r="W261" s="396"/>
      <c r="X261" s="396"/>
      <c r="Y261" s="396"/>
      <c r="Z261" s="396"/>
      <c r="AA261" s="396"/>
      <c r="AB261" s="396"/>
      <c r="AC261" s="396"/>
      <c r="AD261" s="396"/>
      <c r="AE261" s="396"/>
      <c r="AF261" s="396"/>
      <c r="AG261" s="396"/>
      <c r="AH261" s="396"/>
      <c r="AI261" s="396"/>
      <c r="AJ261" s="396"/>
      <c r="AK261" s="396"/>
      <c r="AL261" s="396"/>
      <c r="AM261" s="396"/>
      <c r="AN261" s="396"/>
      <c r="AO261" s="396"/>
      <c r="AP261" s="396"/>
      <c r="AQ261" s="396"/>
    </row>
    <row r="262" spans="1:54" ht="13.5" thickBot="1">
      <c r="A262" s="397" t="s">
        <v>231</v>
      </c>
      <c r="B262" s="399" t="s">
        <v>232</v>
      </c>
      <c r="C262" s="400"/>
      <c r="D262" s="400"/>
      <c r="E262" s="400"/>
      <c r="F262" s="400"/>
      <c r="G262" s="400"/>
      <c r="H262" s="400"/>
      <c r="I262" s="400"/>
      <c r="J262" s="400"/>
      <c r="K262" s="400"/>
      <c r="L262" s="401"/>
      <c r="M262" s="399" t="s">
        <v>233</v>
      </c>
      <c r="N262" s="400"/>
      <c r="O262" s="400"/>
      <c r="P262" s="400"/>
      <c r="Q262" s="400"/>
      <c r="R262" s="400"/>
      <c r="S262" s="400"/>
      <c r="T262" s="400"/>
      <c r="U262" s="400"/>
      <c r="V262" s="400"/>
      <c r="W262" s="401"/>
      <c r="X262" s="402" t="s">
        <v>234</v>
      </c>
      <c r="Y262" s="403"/>
      <c r="Z262" s="403"/>
      <c r="AA262" s="403"/>
      <c r="AB262" s="403"/>
      <c r="AC262" s="403"/>
      <c r="AD262" s="403"/>
      <c r="AE262" s="403"/>
      <c r="AF262" s="403"/>
      <c r="AG262" s="404"/>
      <c r="AH262" s="405" t="s">
        <v>235</v>
      </c>
      <c r="AI262" s="406"/>
      <c r="AJ262" s="406"/>
      <c r="AK262" s="406"/>
      <c r="AL262" s="406"/>
      <c r="AM262" s="406"/>
      <c r="AN262" s="406"/>
      <c r="AO262" s="406"/>
      <c r="AP262" s="407"/>
    </row>
    <row r="263" spans="1:54" ht="13.5" thickBot="1">
      <c r="A263" s="398"/>
      <c r="B263" s="408" t="s">
        <v>5</v>
      </c>
      <c r="C263" s="409"/>
      <c r="D263" s="409"/>
      <c r="E263" s="409"/>
      <c r="F263" s="409" t="s">
        <v>236</v>
      </c>
      <c r="G263" s="409"/>
      <c r="H263" s="409"/>
      <c r="I263" s="409"/>
      <c r="J263" s="409" t="s">
        <v>237</v>
      </c>
      <c r="K263" s="409"/>
      <c r="L263" s="185" t="s">
        <v>4</v>
      </c>
      <c r="M263" s="408" t="s">
        <v>5</v>
      </c>
      <c r="N263" s="409"/>
      <c r="O263" s="409"/>
      <c r="P263" s="409"/>
      <c r="Q263" s="409"/>
      <c r="R263" s="409" t="s">
        <v>236</v>
      </c>
      <c r="S263" s="409"/>
      <c r="T263" s="409"/>
      <c r="U263" s="409" t="s">
        <v>237</v>
      </c>
      <c r="V263" s="409"/>
      <c r="W263" s="186" t="s">
        <v>4</v>
      </c>
      <c r="X263" s="408" t="s">
        <v>5</v>
      </c>
      <c r="Y263" s="409"/>
      <c r="Z263" s="409"/>
      <c r="AA263" s="409"/>
      <c r="AB263" s="409"/>
      <c r="AC263" s="409" t="s">
        <v>236</v>
      </c>
      <c r="AD263" s="409"/>
      <c r="AE263" s="409"/>
      <c r="AF263" s="184" t="s">
        <v>237</v>
      </c>
      <c r="AG263" s="186" t="s">
        <v>4</v>
      </c>
      <c r="AH263" s="410" t="s">
        <v>5</v>
      </c>
      <c r="AI263" s="411"/>
      <c r="AJ263" s="411"/>
      <c r="AK263" s="411" t="s">
        <v>236</v>
      </c>
      <c r="AL263" s="411"/>
      <c r="AM263" s="411"/>
      <c r="AN263" s="411" t="s">
        <v>237</v>
      </c>
      <c r="AO263" s="411"/>
      <c r="AP263" s="187" t="s">
        <v>4</v>
      </c>
    </row>
    <row r="264" spans="1:54">
      <c r="A264" s="188" t="s">
        <v>250</v>
      </c>
      <c r="B264" s="412" t="str">
        <f>IF($AF$8=1,$E$8,IF($AF$10=1,$E$10,IF($AF$12=1,$E$12,IF($AF$14=1,$E$14,IF($AF$16=1,$E$16,"1st Place "&amp;$A264)))))</f>
        <v>Magnum 12 Black</v>
      </c>
      <c r="C264" s="413"/>
      <c r="D264" s="413"/>
      <c r="E264" s="413"/>
      <c r="F264" s="414" t="str">
        <f>IF($AF$8=1,$E$9,IF($AF$10=1,$E$11,IF($AF$12=1,$E$13,IF($AF$14=1,$E$15,IF($AF$16=1,$E$17,"1st Place "&amp;$A264)))))</f>
        <v>fj2magnm1pm</v>
      </c>
      <c r="G264" s="414"/>
      <c r="H264" s="414"/>
      <c r="I264" s="414"/>
      <c r="J264" s="415">
        <f>IF($AF$8=1,$Z$8,IF($AF$10=1,$Z$10,IF($AF$12=1,$Z$12,IF($AF$14=1,$Z$14,IF($AF$16=1,$Z$16,0)))))</f>
        <v>0.58695652173913049</v>
      </c>
      <c r="K264" s="415"/>
      <c r="L264" s="189">
        <f>IF(AND(J264=0,J265=0,J266=0),0,IF(OR(AND(J264&gt;J265,J264&gt;J266),AND(J264=J265,J264=J266),AND(J264=J265,J264&gt;J266),AND(J264=J266,J264&gt;J265)),1,IF(OR(J264&gt;J265,J264&gt;J266,J264=J265,J264=J266),2,3)))</f>
        <v>1</v>
      </c>
      <c r="M264" s="463" t="str">
        <f>IF($AF$8=2,$E$8,IF($AF$10=2,$E$10,IF($AF$12=2,$E$12,IF($AF$14=2,$E$14,IF($AF$16=2,$E$16,"2nd Place "&amp;$A264)))))</f>
        <v>Intense Kids power Gvl</v>
      </c>
      <c r="N264" s="464"/>
      <c r="O264" s="464"/>
      <c r="P264" s="464"/>
      <c r="Q264" s="464"/>
      <c r="R264" s="465" t="str">
        <f>IF($AF$8=2,$E$9,IF($AF$10=2,$E$11,IF($AF$12=2,$E$13,IF($AF$14=2,$E$15,IF($AF$16=2,$E$17,"2nd Place "&amp;$A264)))))</f>
        <v>fj2inten2pm</v>
      </c>
      <c r="S264" s="465"/>
      <c r="T264" s="465"/>
      <c r="U264" s="466">
        <f>IF($AF$8=2,$Z$8,IF($AF$10=2,$Z$10,IF($AF$12=2,$Z$12,IF($AF$14=2,$Z$14,IF($AF$16=2,$Z$16,0)))))</f>
        <v>-0.10869565217391304</v>
      </c>
      <c r="V264" s="466"/>
      <c r="W264" s="192">
        <f>IF(AND(J264=0,J265=0,J266=0),0,IF(OR(AND(U264&gt;U265,U264&gt;U266),AND(U264=U265,U264=U266),AND(U264=U265,U264&gt;U266),AND(U264=U266,U264&gt;U265)),1,IF(OR(U264&gt;U265,U264&gt;U266,U264=U265,U264=U266),2,3)))</f>
        <v>3</v>
      </c>
      <c r="X264" s="467" t="str">
        <f>IF($AF$8=3,$E$8,IF($AF$10=3,$E$10,IF($AF$12=3,$E$12,IF($AF$14=3,$E$14,IF($AF$16=3,$E$16,"3rd Place "&amp;$A264)))))</f>
        <v>Magnum Aiken 12 Green</v>
      </c>
      <c r="Y264" s="468"/>
      <c r="Z264" s="468"/>
      <c r="AA264" s="468"/>
      <c r="AB264" s="468"/>
      <c r="AC264" s="469" t="str">
        <f>IF($AF$8=3,$E$9,IF($AF$10=3,$E$11,IF($AF$12=3,$E$13,IF($AF$14=3,$E$15,IF($AF$16=3,$E$17,"3rd Place "&amp;$A264)))))</f>
        <v>fj2magnm2pm</v>
      </c>
      <c r="AD264" s="469"/>
      <c r="AE264" s="469"/>
      <c r="AF264" s="207">
        <f>IF($AF$8=3,$Z$8,IF($AF$10=3,$Z$10,IF($AF$12=3,$Z$12,IF($AF$14=3,$Z$14,IF($AF$16=3,$Z$16,0)))))</f>
        <v>-0.5</v>
      </c>
      <c r="AG264" s="190">
        <f>IF(AND(J264=0,J265=0,J266=0),0,IF(OR(AND(AF264&gt;AF265,AF264&gt;AF266),AND(AF264=AF265,AF264=AF266),AND(AF264=AF265,AF264&gt;AF266),AND(AF264=AF266,AF264&gt;AF265)),1,IF(OR(AF264&gt;AF265,AF264&gt;AF266,AF264=AF265,AF264=AF266),2,3)))</f>
        <v>3</v>
      </c>
      <c r="AH264" s="423" t="str">
        <f>IF($AF$8=4,$E$8,IF($AF$10=4,$E$10,IF($AF$12=4,$E$12,IF($AF$14=4,$E$14,IF($AF$16=4,$E$16,"4th Place "&amp;$A264)))))</f>
        <v>4th Place Pool A3</v>
      </c>
      <c r="AI264" s="424"/>
      <c r="AJ264" s="424"/>
      <c r="AK264" s="427" t="str">
        <f>IF($AF$8=4,$E$9,IF($AF$10=4,$E$11,IF($AF$12=4,$E$13,IF($AF$14=4,$E$15,IF($AF$16=4,$E$17,"4th Place "&amp;$A264)))))</f>
        <v>4th Place Pool A3</v>
      </c>
      <c r="AL264" s="427"/>
      <c r="AM264" s="427"/>
      <c r="AN264" s="428">
        <f>IF($AF$8=4,$Z$8,IF($AF$10=4,$Z$10,IF($AF$12=4,$Z$12,IF($AF$14=4,$Z$14,IF($AF$16=4,$Z$16,0)))))</f>
        <v>0</v>
      </c>
      <c r="AO264" s="428"/>
      <c r="AP264" s="193">
        <f>IF(AND(J264=0,J265=0,J266=0),0,IF(OR(AND(AN264&gt;AN265,AN264&gt;AN266),AND(AN264=AN265,AN264=AN266),AND(AN264=AN265,AN264&gt;AN266),AND(AN264=AN266,AN264&gt;AN265)),1,IF(OR(AN264&gt;AN265,AN264&gt;AN266,AN264=AN265,AN264=AN266),2,3)))</f>
        <v>1</v>
      </c>
    </row>
    <row r="265" spans="1:54">
      <c r="A265" s="188" t="s">
        <v>251</v>
      </c>
      <c r="B265" s="433" t="str">
        <f>IF($AF$93=1,$E$93,IF($AF$95=1,$E$95,IF($AF$97=1,$E$97,IF($AF$99=1,$E$99,IF($AF$101=1,$E$101,"1st Place "&amp;$A265)))))</f>
        <v>USA 12 Blue</v>
      </c>
      <c r="C265" s="434"/>
      <c r="D265" s="434"/>
      <c r="E265" s="434"/>
      <c r="F265" s="435" t="str">
        <f>IF($AF$93=1,$E$94,IF($AF$95=1,$E$96,IF($AF$97=1,$E$98,IF($AF$99=1,$E$100,IF($AF$101=1,$E$102,"1st Place "&amp;$A265)))))</f>
        <v>fj2unsel1cr</v>
      </c>
      <c r="G265" s="435"/>
      <c r="H265" s="435"/>
      <c r="I265" s="435"/>
      <c r="J265" s="436">
        <f>IF($AF$93=1,$Z$93,IF($AF$95=1,$Z$95,IF($AF$97=1,$Z$97,IF($AF$99=1,$Z$99,IF($AF$101=1,$Z$101,0)))))</f>
        <v>0.15789473684210525</v>
      </c>
      <c r="K265" s="436"/>
      <c r="L265" s="208">
        <f>IF(AND(J264=0,J265=0,J266=0),0,IF(OR(AND(J265&gt;J264,J265&gt;J266),AND(J265=J266,J265&gt;J264)),1,IF(OR(J265&gt;J264,J265&gt;J266,AND(J265=J264,J265=J266),J265=J266),2,3)))</f>
        <v>2</v>
      </c>
      <c r="M265" s="429" t="str">
        <f>IF($AF$93=2,$E$93,IF($AF$95=2,$E$95,IF($AF$97=2,$E$97,IF($AF$99=2,$E$99,IF($AF$101=2,$E$101,"2nd Place "&amp;$A265)))))</f>
        <v>SC Midlands KP Boys</v>
      </c>
      <c r="N265" s="430"/>
      <c r="O265" s="430"/>
      <c r="P265" s="430"/>
      <c r="Q265" s="430"/>
      <c r="R265" s="431" t="str">
        <f>IF($AF$93=2,$E$94,IF($AF$95=2,$E$96,IF($AF$97=2,$E$98,IF($AF$99=2,$E$100,IF($AF$101=2,$E$102,"2nd Place "&amp;$A265)))))</f>
        <v>fj2scmid3pm</v>
      </c>
      <c r="S265" s="431"/>
      <c r="T265" s="431"/>
      <c r="U265" s="432">
        <f>IF($AF$93=2,$Z$93,IF($AF$95=2,$Z$95,IF($AF$97=2,$Z$97,IF($AF$99=2,$Z$99,IF($AF$101=2,$Z$101,0)))))</f>
        <v>0.23529411764705882</v>
      </c>
      <c r="V265" s="432"/>
      <c r="W265" s="209">
        <f>IF(AND(J264=0,J265=0,J266=0),0,IF(OR(AND(U265&gt;U264,U265&gt;U266),AND(U265=U266,U265&gt;U264)),1,IF(OR(U265&gt;U264,U265&gt;U266,AND(U265=U264,U265=U266),U265=U266),2,3)))</f>
        <v>1</v>
      </c>
      <c r="X265" s="437" t="str">
        <f>IF($AF$93=3,$E$93,IF($AF$95=3,$E$95,IF($AF$97=3,$E$97,IF($AF$99=3,$E$99,IF($AF$101=3,$E$101,"3rd Place "&amp;$A265)))))</f>
        <v>Excell U12 Devel</v>
      </c>
      <c r="Y265" s="438"/>
      <c r="Z265" s="438"/>
      <c r="AA265" s="438"/>
      <c r="AB265" s="438"/>
      <c r="AC265" s="456" t="str">
        <f>IF($AF$93=3,$E$94,IF($AF$95=3,$E$96,IF($AF$97=3,$E$98,IF($AF$99=3,$E$100,IF($AF$101=3,$E$102,"3rd Place "&amp;$A265)))))</f>
        <v>fj2191642pm</v>
      </c>
      <c r="AD265" s="456"/>
      <c r="AE265" s="456"/>
      <c r="AF265" s="196">
        <f>IF($AF$93=3,$Z$93,IF($AF$95=3,$Z$95,IF($AF$97=3,$Z$97,IF($AF$99=3,$Z$99,IF($AF$101=3,$Z$101,0)))))</f>
        <v>-0.36781609195402298</v>
      </c>
      <c r="AG265" s="197">
        <f>IF(AND(J264=0,J265=0,J266=0),0,IF(OR(AND(AF265&gt;AF264,AF265&gt;AF266),AND(AF265=AF266,AF265&gt;AF264)),1,IF(OR(AF265&gt;AF264,AF265&gt;AF266,AND(AF265=AF264,AF265=AF266),AF265=AF266),2,3)))</f>
        <v>2</v>
      </c>
      <c r="AH265" s="452" t="str">
        <f>IF($AF$93=4,$E$93,IF($AF$95=4,$E$95,IF($AF$97=4,$E$97,IF($AF$99=4,$E$99,IF($AF$101=4,$E$101,"4th Place "&amp;$A265)))))</f>
        <v>4th Place Pool B3</v>
      </c>
      <c r="AI265" s="453"/>
      <c r="AJ265" s="453"/>
      <c r="AK265" s="454" t="str">
        <f>IF($AF$93=4,$E$94,IF($AF$95=4,$E$96,IF($AF$97=4,$E$98,IF($AF$99=4,$E$100,IF($AF$101=4,$E$102,"4th Place "&amp;$A265)))))</f>
        <v>4th Place Pool B3</v>
      </c>
      <c r="AL265" s="454"/>
      <c r="AM265" s="454"/>
      <c r="AN265" s="455">
        <f>IF($AF$93=4,$Z$93,IF($AF$95=4,$Z$95,IF($AF$97=4,$Z$97,IF($AF$99=4,$Z$99,IF($AF$101=4,$Z$101,0)))))</f>
        <v>0</v>
      </c>
      <c r="AO265" s="455"/>
      <c r="AP265" s="198">
        <f>IF(AND(J264=0,J265=0,J266=0),0,IF(OR(AND(AN265&gt;AN264,AN265&gt;AN266),AND(AN265=AN266,AN265&gt;AN264)),1,IF(OR(AN265&gt;AN264,AN265&gt;AN266,AND(AN265=AN264,AN265=AN266),AN265=AN266),2,3)))</f>
        <v>2</v>
      </c>
    </row>
    <row r="266" spans="1:54" ht="13.5" thickBot="1">
      <c r="A266" s="199" t="s">
        <v>252</v>
      </c>
      <c r="B266" s="425" t="str">
        <f>IF($AF$178=1,$E$178,IF($AF$180=1,$E$180,IF($AF$182=1,$E$182,IF($AF$184=1,$E$184,IF($AF$186=1,$E$186,"1st Place "&amp;$A266)))))</f>
        <v>SC Midlands KP White</v>
      </c>
      <c r="C266" s="426"/>
      <c r="D266" s="426"/>
      <c r="E266" s="426"/>
      <c r="F266" s="447" t="str">
        <f>IF($AF$178=1,$E$179,IF($AF$180=1,$E$181,IF($AF$182=1,$E$183,IF($AF$184=1,$E$185,IF($AF$186=1,$E$187,"1st Place "&amp;$A266)))))</f>
        <v>fj2scmid2pm</v>
      </c>
      <c r="G266" s="447"/>
      <c r="H266" s="447"/>
      <c r="I266" s="447"/>
      <c r="J266" s="470">
        <f>IF($AF$178=1,$Z$178,IF($AF$180=1,$Z$180,IF($AF$182=1,$Z$182,IF($AF$184=1,$Z$184,IF($AF$186=1,$Z$186,0)))))</f>
        <v>5.2631578947368418E-2</v>
      </c>
      <c r="K266" s="470"/>
      <c r="L266" s="210">
        <f>IF(AND(J264=0,J265=0,J266=0),0,IF(AND(J266&gt;J264,J266&gt;J265),1,IF(OR(J266&gt;J264,J266&gt;J265),2,3)))</f>
        <v>3</v>
      </c>
      <c r="M266" s="443" t="str">
        <f>IF($AF$178=2,$E$178,IF($AF$180=2,$E$180,IF($AF$182=2,$E$182,IF($AF$184=2,$E$184,IF($AF$186=2,$E$186,"2nd Place "&amp;$A266)))))</f>
        <v>Magnum 12 Red</v>
      </c>
      <c r="N266" s="444"/>
      <c r="O266" s="444"/>
      <c r="P266" s="444"/>
      <c r="Q266" s="444"/>
      <c r="R266" s="445" t="str">
        <f>IF($AF$178=2,$E$179,IF($AF$180=2,$E$181,IF($AF$182=2,$E$183,IF($AF$184=2,$E$185,IF($AF$186=2,$E$187,"2nd Place "&amp;$A266)))))</f>
        <v>fj2magnm3pm</v>
      </c>
      <c r="S266" s="445"/>
      <c r="T266" s="445"/>
      <c r="U266" s="446">
        <f>IF($AF$178=2,$Z$178,IF($AF$180=2,$Z$180,IF($AF$182=2,$Z$182,IF($AF$184=2,$Z$184,IF($AF$186=2,$Z$186,0)))))</f>
        <v>5.5555555555555552E-2</v>
      </c>
      <c r="V266" s="446"/>
      <c r="W266" s="201">
        <f>IF(AND(J264=0,J265=0,J266=0),0,IF(AND(U266&gt;U264,U266&gt;U265),1,IF(OR(U266&gt;U264,U266&gt;U265),2,3)))</f>
        <v>2</v>
      </c>
      <c r="X266" s="439" t="str">
        <f>IF($AF$178=3,$E$178,IF($AF$180=3,$E$180,IF($AF$182=3,$E$182,IF($AF$184=3,$E$184,IF($AF$186=3,$E$186,"3rd Place "&amp;$A266)))))</f>
        <v>3rd Place Pool C3</v>
      </c>
      <c r="Y266" s="440"/>
      <c r="Z266" s="440"/>
      <c r="AA266" s="440"/>
      <c r="AB266" s="440"/>
      <c r="AC266" s="441" t="str">
        <f>IF($AF$178=3,$E$179,IF($AF$180=3,$E$181,IF($AF$182=3,$E$183,IF($AF$184=3,$E$185,IF($AF$186=3,$E$187,"3rd Place "&amp;$A266)))))</f>
        <v>3rd Place Pool C3</v>
      </c>
      <c r="AD266" s="441"/>
      <c r="AE266" s="441"/>
      <c r="AF266" s="211">
        <f>IF($AF$178=3,$Z$178,IF($AF$180=3,$Z$180,IF($AF$182=3,$Z$182,IF($AF$184=3,$Z$184,IF($AF$186=3,$Z$186,0)))))</f>
        <v>0</v>
      </c>
      <c r="AG266" s="212">
        <f>IF(AND(J264=0,J265=0,J266=0),0,IF(AND(AF266&gt;AF264,AF266&gt;AF265),1,IF(OR(AF266&gt;AF264,AF266&gt;AF265),2,3)))</f>
        <v>1</v>
      </c>
      <c r="AH266" s="448" t="str">
        <f>IF($AF$178=4,$E$178,IF($AF$180=4,$E$180,IF($AF$182=4,$E$182,IF($AF$184=4,$E$184,IF($AF$186=4,$E$186,"4th Place "&amp;$A266)))))</f>
        <v>4th Place Pool C3</v>
      </c>
      <c r="AI266" s="449"/>
      <c r="AJ266" s="449"/>
      <c r="AK266" s="450" t="str">
        <f>IF($AF$178=4,$E$179,IF($AF$180=4,$E$181,IF($AF$182=4,$E$183,IF($AF$184=4,$E$185,IF($AF$186=4,$E$187,"4th Place "&amp;$A266)))))</f>
        <v>4th Place Pool C3</v>
      </c>
      <c r="AL266" s="450"/>
      <c r="AM266" s="450"/>
      <c r="AN266" s="451">
        <f>IF($AF$178=4,$Z$178,IF($AF$180=4,$Z$180,IF($AF$182=4,$Z$182,IF($AF$184=4,$Z$184,IF($AF$186=4,$Z$186,0)))))</f>
        <v>0</v>
      </c>
      <c r="AO266" s="451"/>
      <c r="AP266" s="204">
        <f>IF(AND(J264=0,J265=0,J266=0),0,IF(AND(AN266&gt;AN264,AN266&gt;AN265),1,IF(OR(AN266&gt;AN264,AN266&gt;AN265),2,3)))</f>
        <v>3</v>
      </c>
    </row>
    <row r="267" spans="1:54" s="46" customFormat="1">
      <c r="A267" s="105"/>
      <c r="B267" s="205"/>
      <c r="C267" s="205"/>
      <c r="D267" s="205"/>
      <c r="E267" s="205"/>
      <c r="F267" s="205"/>
      <c r="G267" s="205"/>
      <c r="H267" s="205"/>
      <c r="I267" s="205"/>
      <c r="J267" s="205"/>
      <c r="K267" s="205"/>
      <c r="L267" s="205"/>
      <c r="M267" s="206"/>
      <c r="N267" s="206"/>
      <c r="O267" s="206"/>
      <c r="P267" s="206"/>
      <c r="Q267" s="206"/>
      <c r="R267" s="206"/>
      <c r="S267" s="206"/>
      <c r="T267" s="206"/>
      <c r="U267" s="206"/>
      <c r="V267" s="206"/>
      <c r="W267" s="206"/>
      <c r="AT267" s="508"/>
      <c r="AU267" s="508"/>
      <c r="AV267" s="508"/>
      <c r="AW267" s="512"/>
      <c r="AX267" s="508"/>
      <c r="AY267" s="508"/>
      <c r="AZ267" s="3"/>
      <c r="BA267" s="3"/>
    </row>
    <row r="268" spans="1:54">
      <c r="AW268" s="514"/>
      <c r="AX268" s="513"/>
      <c r="AY268" s="513"/>
      <c r="AZ268" s="115"/>
      <c r="BA268" s="115"/>
    </row>
    <row r="269" spans="1:54">
      <c r="AW269" s="514"/>
      <c r="AX269" s="513"/>
      <c r="AY269" s="513"/>
      <c r="AZ269" s="115"/>
      <c r="BA269" s="115"/>
    </row>
    <row r="270" spans="1:54">
      <c r="AW270" s="514"/>
      <c r="AX270" s="513"/>
      <c r="AY270" s="513"/>
      <c r="AZ270" s="115"/>
      <c r="BA270" s="115"/>
    </row>
    <row r="271" spans="1:54">
      <c r="AW271" s="514"/>
      <c r="AX271" s="513"/>
      <c r="AY271" s="513"/>
      <c r="AZ271" s="115"/>
      <c r="BA271" s="115"/>
    </row>
    <row r="272" spans="1:54">
      <c r="AW272" s="514"/>
      <c r="AX272" s="513"/>
      <c r="AY272" s="513"/>
      <c r="AZ272" s="115"/>
      <c r="BA272" s="115"/>
    </row>
    <row r="273" spans="45:53">
      <c r="AW273" s="514"/>
      <c r="AX273" s="513"/>
      <c r="AY273" s="513"/>
      <c r="AZ273" s="115"/>
      <c r="BA273" s="115"/>
    </row>
    <row r="274" spans="45:53">
      <c r="AW274" s="514"/>
      <c r="AX274" s="513"/>
      <c r="AY274" s="513"/>
      <c r="AZ274" s="115"/>
      <c r="BA274" s="115"/>
    </row>
    <row r="275" spans="45:53">
      <c r="AW275" s="514"/>
      <c r="AX275" s="513"/>
      <c r="AY275" s="513"/>
      <c r="AZ275" s="115"/>
      <c r="BA275" s="115"/>
    </row>
    <row r="276" spans="45:53">
      <c r="AS276" s="120"/>
      <c r="AT276" s="520"/>
      <c r="AU276" s="520"/>
      <c r="AW276" s="514"/>
      <c r="AX276" s="513"/>
      <c r="AY276" s="513"/>
      <c r="AZ276" s="115"/>
      <c r="BA276" s="115"/>
    </row>
    <row r="277" spans="45:53">
      <c r="AW277" s="514"/>
      <c r="AX277" s="513"/>
      <c r="AY277" s="513"/>
      <c r="AZ277" s="115"/>
      <c r="BA277" s="115"/>
    </row>
    <row r="279" spans="45:53">
      <c r="AW279" s="514"/>
      <c r="AX279" s="513"/>
      <c r="AY279" s="513"/>
      <c r="AZ279" s="117"/>
      <c r="BA279" s="117"/>
    </row>
    <row r="280" spans="45:53">
      <c r="AW280" s="514"/>
      <c r="AX280" s="513"/>
      <c r="AY280" s="513"/>
      <c r="AZ280" s="117"/>
      <c r="BA280" s="117"/>
    </row>
    <row r="281" spans="45:53">
      <c r="AW281" s="514"/>
      <c r="AX281" s="513"/>
      <c r="AY281" s="513"/>
      <c r="AZ281" s="117"/>
      <c r="BA281" s="117"/>
    </row>
    <row r="282" spans="45:53">
      <c r="AW282" s="514"/>
      <c r="AX282" s="513"/>
      <c r="AY282" s="513"/>
      <c r="AZ282" s="117"/>
      <c r="BA282" s="117"/>
    </row>
    <row r="283" spans="45:53">
      <c r="AW283" s="514"/>
      <c r="AX283" s="513"/>
      <c r="AY283" s="513"/>
      <c r="AZ283" s="117"/>
      <c r="BA283" s="117"/>
    </row>
    <row r="284" spans="45:53">
      <c r="AW284" s="514"/>
      <c r="AX284" s="513"/>
      <c r="AY284" s="513"/>
      <c r="AZ284" s="117"/>
      <c r="BA284" s="117"/>
    </row>
    <row r="285" spans="45:53">
      <c r="AW285" s="514"/>
      <c r="AX285" s="513"/>
      <c r="AY285" s="513"/>
      <c r="AZ285" s="117"/>
      <c r="BA285" s="117"/>
    </row>
    <row r="286" spans="45:53">
      <c r="AW286" s="514"/>
      <c r="AX286" s="513"/>
      <c r="AY286" s="513"/>
      <c r="AZ286" s="117"/>
      <c r="BA286" s="117"/>
    </row>
    <row r="287" spans="45:53">
      <c r="AW287" s="517"/>
      <c r="AX287" s="516"/>
      <c r="AY287" s="516"/>
      <c r="AZ287" s="176"/>
      <c r="BA287" s="176"/>
    </row>
    <row r="288" spans="45:53">
      <c r="AW288" s="519"/>
      <c r="AX288" s="518"/>
      <c r="AY288" s="518"/>
      <c r="AZ288" s="182"/>
      <c r="BA288" s="182"/>
    </row>
    <row r="289" spans="49:53">
      <c r="AW289" s="519"/>
      <c r="AX289" s="518"/>
      <c r="AY289" s="518"/>
      <c r="AZ289" s="182"/>
      <c r="BA289" s="182"/>
    </row>
    <row r="290" spans="49:53">
      <c r="AW290" s="514"/>
      <c r="AX290" s="513"/>
      <c r="AY290" s="513"/>
      <c r="AZ290" s="117"/>
      <c r="BA290" s="117"/>
    </row>
    <row r="291" spans="49:53">
      <c r="AW291" s="514"/>
      <c r="AX291" s="513"/>
      <c r="AY291" s="513"/>
      <c r="AZ291" s="117"/>
      <c r="BA291" s="117"/>
    </row>
    <row r="349" spans="49:49">
      <c r="AW349" s="508"/>
    </row>
    <row r="350" spans="49:49">
      <c r="AW350" s="508"/>
    </row>
    <row r="351" spans="49:49">
      <c r="AW351" s="508"/>
    </row>
    <row r="352" spans="49:49">
      <c r="AW352" s="508"/>
    </row>
    <row r="353" spans="49:49">
      <c r="AW353" s="508"/>
    </row>
    <row r="354" spans="49:49">
      <c r="AW354" s="508"/>
    </row>
    <row r="355" spans="49:49">
      <c r="AW355" s="508"/>
    </row>
    <row r="356" spans="49:49">
      <c r="AW356" s="508"/>
    </row>
    <row r="357" spans="49:49">
      <c r="AW357" s="508"/>
    </row>
    <row r="403" spans="49:49">
      <c r="AW403" s="508"/>
    </row>
    <row r="404" spans="49:49">
      <c r="AW404" s="508"/>
    </row>
    <row r="405" spans="49:49">
      <c r="AW405" s="508"/>
    </row>
    <row r="406" spans="49:49">
      <c r="AW406" s="508"/>
    </row>
    <row r="407" spans="49:49">
      <c r="AW407" s="508"/>
    </row>
    <row r="408" spans="49:49">
      <c r="AW408" s="508"/>
    </row>
    <row r="409" spans="49:49">
      <c r="AW409" s="508"/>
    </row>
    <row r="410" spans="49:49">
      <c r="AW410" s="508"/>
    </row>
    <row r="411" spans="49:49">
      <c r="AW411" s="508"/>
    </row>
    <row r="457" spans="49:49">
      <c r="AW457" s="508"/>
    </row>
    <row r="458" spans="49:49">
      <c r="AW458" s="508"/>
    </row>
    <row r="459" spans="49:49">
      <c r="AW459" s="508"/>
    </row>
    <row r="460" spans="49:49">
      <c r="AW460" s="508"/>
    </row>
    <row r="461" spans="49:49">
      <c r="AW461" s="508"/>
    </row>
    <row r="462" spans="49:49">
      <c r="AW462" s="508"/>
    </row>
    <row r="463" spans="49:49">
      <c r="AW463" s="508"/>
    </row>
    <row r="464" spans="49:49">
      <c r="AW464" s="508"/>
    </row>
    <row r="465" spans="49:49">
      <c r="AW465" s="508"/>
    </row>
    <row r="511" spans="49:49">
      <c r="AW511" s="508"/>
    </row>
    <row r="512" spans="49:49">
      <c r="AW512" s="508"/>
    </row>
    <row r="513" spans="49:49">
      <c r="AW513" s="508"/>
    </row>
    <row r="514" spans="49:49">
      <c r="AW514" s="508"/>
    </row>
    <row r="515" spans="49:49">
      <c r="AW515" s="508"/>
    </row>
    <row r="516" spans="49:49">
      <c r="AW516" s="508"/>
    </row>
    <row r="517" spans="49:49">
      <c r="AW517" s="508"/>
    </row>
    <row r="518" spans="49:49">
      <c r="AW518" s="508"/>
    </row>
    <row r="519" spans="49:49">
      <c r="AW519" s="508"/>
    </row>
  </sheetData>
  <sheetProtection formatCells="0" selectLockedCells="1"/>
  <mergeCells count="466">
    <mergeCell ref="X266:AB266"/>
    <mergeCell ref="AK264:AM264"/>
    <mergeCell ref="AN264:AO264"/>
    <mergeCell ref="B265:E265"/>
    <mergeCell ref="F265:I265"/>
    <mergeCell ref="J265:K265"/>
    <mergeCell ref="M265:Q265"/>
    <mergeCell ref="R265:T265"/>
    <mergeCell ref="U265:V265"/>
    <mergeCell ref="X265:AB265"/>
    <mergeCell ref="B266:E266"/>
    <mergeCell ref="F266:I266"/>
    <mergeCell ref="J266:K266"/>
    <mergeCell ref="M266:Q266"/>
    <mergeCell ref="R266:T266"/>
    <mergeCell ref="U266:V266"/>
    <mergeCell ref="AC266:AE266"/>
    <mergeCell ref="AH266:AJ266"/>
    <mergeCell ref="AK266:AM266"/>
    <mergeCell ref="AN266:AO266"/>
    <mergeCell ref="AH265:AJ265"/>
    <mergeCell ref="AK265:AM265"/>
    <mergeCell ref="AN265:AO265"/>
    <mergeCell ref="AC265:AE265"/>
    <mergeCell ref="B264:E264"/>
    <mergeCell ref="F264:I264"/>
    <mergeCell ref="J264:K264"/>
    <mergeCell ref="M264:Q264"/>
    <mergeCell ref="R264:T264"/>
    <mergeCell ref="U264:V264"/>
    <mergeCell ref="X264:AB264"/>
    <mergeCell ref="AC264:AE264"/>
    <mergeCell ref="AH264:AJ264"/>
    <mergeCell ref="AG227:AK227"/>
    <mergeCell ref="A259:AL259"/>
    <mergeCell ref="AM259:AP259"/>
    <mergeCell ref="A260:AQ260"/>
    <mergeCell ref="A261:AQ261"/>
    <mergeCell ref="A262:A263"/>
    <mergeCell ref="B262:L262"/>
    <mergeCell ref="M262:W262"/>
    <mergeCell ref="X262:AG262"/>
    <mergeCell ref="AH262:AP262"/>
    <mergeCell ref="B263:E263"/>
    <mergeCell ref="F263:I263"/>
    <mergeCell ref="J263:K263"/>
    <mergeCell ref="M263:Q263"/>
    <mergeCell ref="R263:T263"/>
    <mergeCell ref="U263:V263"/>
    <mergeCell ref="X263:AB263"/>
    <mergeCell ref="AC263:AE263"/>
    <mergeCell ref="AH263:AJ263"/>
    <mergeCell ref="AK263:AM263"/>
    <mergeCell ref="AN263:AO263"/>
    <mergeCell ref="AC192:AE192"/>
    <mergeCell ref="B193:D193"/>
    <mergeCell ref="E193:G193"/>
    <mergeCell ref="H193:J193"/>
    <mergeCell ref="K193:M193"/>
    <mergeCell ref="N193:P193"/>
    <mergeCell ref="Q193:S193"/>
    <mergeCell ref="T193:V193"/>
    <mergeCell ref="W193:Y193"/>
    <mergeCell ref="Z193:AB193"/>
    <mergeCell ref="AC193:AE193"/>
    <mergeCell ref="B192:D192"/>
    <mergeCell ref="E192:G192"/>
    <mergeCell ref="H192:J192"/>
    <mergeCell ref="K192:M192"/>
    <mergeCell ref="N192:P192"/>
    <mergeCell ref="Q192:S192"/>
    <mergeCell ref="T192:V192"/>
    <mergeCell ref="W192:Y192"/>
    <mergeCell ref="Z192:AB192"/>
    <mergeCell ref="Z190:AB190"/>
    <mergeCell ref="AC190:AE190"/>
    <mergeCell ref="B191:D191"/>
    <mergeCell ref="E191:G191"/>
    <mergeCell ref="H191:J191"/>
    <mergeCell ref="K191:M191"/>
    <mergeCell ref="N191:P191"/>
    <mergeCell ref="Q191:S191"/>
    <mergeCell ref="T191:V191"/>
    <mergeCell ref="W191:Y191"/>
    <mergeCell ref="Z191:AB191"/>
    <mergeCell ref="AC191:AE191"/>
    <mergeCell ref="AG186:AG187"/>
    <mergeCell ref="AH186:AI187"/>
    <mergeCell ref="B187:D187"/>
    <mergeCell ref="E187:K187"/>
    <mergeCell ref="B188:AI188"/>
    <mergeCell ref="B189:D189"/>
    <mergeCell ref="E189:G189"/>
    <mergeCell ref="H189:J189"/>
    <mergeCell ref="K189:M189"/>
    <mergeCell ref="N189:P189"/>
    <mergeCell ref="Q189:S189"/>
    <mergeCell ref="T189:V189"/>
    <mergeCell ref="W189:Y189"/>
    <mergeCell ref="Z189:AB189"/>
    <mergeCell ref="AC189:AE189"/>
    <mergeCell ref="AF189:AQ192"/>
    <mergeCell ref="B190:D190"/>
    <mergeCell ref="E190:G190"/>
    <mergeCell ref="H190:J190"/>
    <mergeCell ref="K190:M190"/>
    <mergeCell ref="N190:P190"/>
    <mergeCell ref="Q190:S190"/>
    <mergeCell ref="T190:V190"/>
    <mergeCell ref="W190:Y190"/>
    <mergeCell ref="A186:A187"/>
    <mergeCell ref="B186:D186"/>
    <mergeCell ref="E186:K186"/>
    <mergeCell ref="L186:P187"/>
    <mergeCell ref="R186:V187"/>
    <mergeCell ref="W186:Y187"/>
    <mergeCell ref="Z186:AB187"/>
    <mergeCell ref="AC186:AE187"/>
    <mergeCell ref="AF186:AF187"/>
    <mergeCell ref="AG182:AG183"/>
    <mergeCell ref="AH182:AI183"/>
    <mergeCell ref="B183:D183"/>
    <mergeCell ref="E183:K183"/>
    <mergeCell ref="A184:A185"/>
    <mergeCell ref="B184:D184"/>
    <mergeCell ref="E184:K184"/>
    <mergeCell ref="L184:P185"/>
    <mergeCell ref="R184:V185"/>
    <mergeCell ref="W184:Y185"/>
    <mergeCell ref="Z184:AB185"/>
    <mergeCell ref="AC184:AE185"/>
    <mergeCell ref="AF184:AF185"/>
    <mergeCell ref="AG184:AG185"/>
    <mergeCell ref="AH184:AI185"/>
    <mergeCell ref="B185:D185"/>
    <mergeCell ref="E185:K185"/>
    <mergeCell ref="A182:A183"/>
    <mergeCell ref="B182:D182"/>
    <mergeCell ref="E182:K182"/>
    <mergeCell ref="L182:P183"/>
    <mergeCell ref="R182:V183"/>
    <mergeCell ref="W182:Y183"/>
    <mergeCell ref="Z182:AB183"/>
    <mergeCell ref="AC182:AE183"/>
    <mergeCell ref="AF182:AF183"/>
    <mergeCell ref="AG178:AG179"/>
    <mergeCell ref="AH178:AI179"/>
    <mergeCell ref="B179:D179"/>
    <mergeCell ref="E179:K179"/>
    <mergeCell ref="A180:A181"/>
    <mergeCell ref="B180:D180"/>
    <mergeCell ref="E180:K180"/>
    <mergeCell ref="L180:P181"/>
    <mergeCell ref="R180:V181"/>
    <mergeCell ref="W180:Y181"/>
    <mergeCell ref="Z180:AB181"/>
    <mergeCell ref="AC180:AE181"/>
    <mergeCell ref="AF180:AF181"/>
    <mergeCell ref="AG180:AG181"/>
    <mergeCell ref="AH180:AI181"/>
    <mergeCell ref="B181:D181"/>
    <mergeCell ref="E181:K181"/>
    <mergeCell ref="AG142:AK142"/>
    <mergeCell ref="A174:AL174"/>
    <mergeCell ref="AM174:AP174"/>
    <mergeCell ref="A175:AQ175"/>
    <mergeCell ref="C176:H176"/>
    <mergeCell ref="I176:J176"/>
    <mergeCell ref="K176:AI176"/>
    <mergeCell ref="B177:K177"/>
    <mergeCell ref="L177:P177"/>
    <mergeCell ref="Q177:Q187"/>
    <mergeCell ref="R177:V177"/>
    <mergeCell ref="W177:Y177"/>
    <mergeCell ref="Z177:AB177"/>
    <mergeCell ref="AC177:AE177"/>
    <mergeCell ref="AH177:AI177"/>
    <mergeCell ref="A178:A179"/>
    <mergeCell ref="B178:D178"/>
    <mergeCell ref="E178:K178"/>
    <mergeCell ref="L178:P179"/>
    <mergeCell ref="R178:V179"/>
    <mergeCell ref="W178:Y179"/>
    <mergeCell ref="Z178:AB179"/>
    <mergeCell ref="AC178:AE179"/>
    <mergeCell ref="AF178:AF179"/>
    <mergeCell ref="AC107:AE107"/>
    <mergeCell ref="B108:D108"/>
    <mergeCell ref="E108:G108"/>
    <mergeCell ref="H108:J108"/>
    <mergeCell ref="K108:M108"/>
    <mergeCell ref="N108:P108"/>
    <mergeCell ref="Q108:S108"/>
    <mergeCell ref="T108:V108"/>
    <mergeCell ref="W108:Y108"/>
    <mergeCell ref="Z108:AB108"/>
    <mergeCell ref="AC108:AE108"/>
    <mergeCell ref="B107:D107"/>
    <mergeCell ref="E107:G107"/>
    <mergeCell ref="H107:J107"/>
    <mergeCell ref="K107:M107"/>
    <mergeCell ref="N107:P107"/>
    <mergeCell ref="Q107:S107"/>
    <mergeCell ref="T107:V107"/>
    <mergeCell ref="W107:Y107"/>
    <mergeCell ref="Z107:AB107"/>
    <mergeCell ref="Z105:AB105"/>
    <mergeCell ref="AC105:AE105"/>
    <mergeCell ref="B106:D106"/>
    <mergeCell ref="E106:G106"/>
    <mergeCell ref="H106:J106"/>
    <mergeCell ref="K106:M106"/>
    <mergeCell ref="N106:P106"/>
    <mergeCell ref="Q106:S106"/>
    <mergeCell ref="T106:V106"/>
    <mergeCell ref="W106:Y106"/>
    <mergeCell ref="Z106:AB106"/>
    <mergeCell ref="AC106:AE106"/>
    <mergeCell ref="AG101:AG102"/>
    <mergeCell ref="AH101:AI102"/>
    <mergeCell ref="B102:D102"/>
    <mergeCell ref="E102:K102"/>
    <mergeCell ref="B103:AI103"/>
    <mergeCell ref="B104:D104"/>
    <mergeCell ref="E104:G104"/>
    <mergeCell ref="H104:J104"/>
    <mergeCell ref="K104:M104"/>
    <mergeCell ref="N104:P104"/>
    <mergeCell ref="Q104:S104"/>
    <mergeCell ref="T104:V104"/>
    <mergeCell ref="W104:Y104"/>
    <mergeCell ref="Z104:AB104"/>
    <mergeCell ref="AC104:AE104"/>
    <mergeCell ref="AF104:AQ107"/>
    <mergeCell ref="B105:D105"/>
    <mergeCell ref="E105:G105"/>
    <mergeCell ref="H105:J105"/>
    <mergeCell ref="K105:M105"/>
    <mergeCell ref="N105:P105"/>
    <mergeCell ref="Q105:S105"/>
    <mergeCell ref="T105:V105"/>
    <mergeCell ref="W105:Y105"/>
    <mergeCell ref="A101:A102"/>
    <mergeCell ref="B101:D101"/>
    <mergeCell ref="E101:K101"/>
    <mergeCell ref="L101:P102"/>
    <mergeCell ref="R101:V102"/>
    <mergeCell ref="W101:Y102"/>
    <mergeCell ref="Z101:AB102"/>
    <mergeCell ref="AC101:AE102"/>
    <mergeCell ref="AF101:AF102"/>
    <mergeCell ref="AG97:AG98"/>
    <mergeCell ref="AH97:AI98"/>
    <mergeCell ref="B98:D98"/>
    <mergeCell ref="E98:K98"/>
    <mergeCell ref="A99:A100"/>
    <mergeCell ref="B99:D99"/>
    <mergeCell ref="E99:K99"/>
    <mergeCell ref="L99:P100"/>
    <mergeCell ref="R99:V100"/>
    <mergeCell ref="W99:Y100"/>
    <mergeCell ref="Z99:AB100"/>
    <mergeCell ref="AC99:AE100"/>
    <mergeCell ref="AF99:AF100"/>
    <mergeCell ref="AG99:AG100"/>
    <mergeCell ref="AH99:AI100"/>
    <mergeCell ref="B100:D100"/>
    <mergeCell ref="E100:K100"/>
    <mergeCell ref="A97:A98"/>
    <mergeCell ref="B97:D97"/>
    <mergeCell ref="E97:K97"/>
    <mergeCell ref="L97:P98"/>
    <mergeCell ref="R97:V98"/>
    <mergeCell ref="W97:Y98"/>
    <mergeCell ref="Z97:AB98"/>
    <mergeCell ref="AC97:AE98"/>
    <mergeCell ref="AF97:AF98"/>
    <mergeCell ref="AG93:AG94"/>
    <mergeCell ref="AH93:AI94"/>
    <mergeCell ref="B94:D94"/>
    <mergeCell ref="E94:K94"/>
    <mergeCell ref="A95:A96"/>
    <mergeCell ref="B95:D95"/>
    <mergeCell ref="E95:K95"/>
    <mergeCell ref="L95:P96"/>
    <mergeCell ref="R95:V96"/>
    <mergeCell ref="W95:Y96"/>
    <mergeCell ref="Z95:AB96"/>
    <mergeCell ref="AC95:AE96"/>
    <mergeCell ref="AF95:AF96"/>
    <mergeCell ref="AG95:AG96"/>
    <mergeCell ref="AH95:AI96"/>
    <mergeCell ref="B96:D96"/>
    <mergeCell ref="E96:K96"/>
    <mergeCell ref="AG57:AK57"/>
    <mergeCell ref="A89:AL89"/>
    <mergeCell ref="AM89:AP89"/>
    <mergeCell ref="A90:AQ90"/>
    <mergeCell ref="C91:H91"/>
    <mergeCell ref="I91:J91"/>
    <mergeCell ref="K91:AI91"/>
    <mergeCell ref="B92:K92"/>
    <mergeCell ref="L92:P92"/>
    <mergeCell ref="Q92:Q102"/>
    <mergeCell ref="R92:V92"/>
    <mergeCell ref="W92:Y92"/>
    <mergeCell ref="Z92:AB92"/>
    <mergeCell ref="AC92:AE92"/>
    <mergeCell ref="AH92:AI92"/>
    <mergeCell ref="A93:A94"/>
    <mergeCell ref="B93:D93"/>
    <mergeCell ref="E93:K93"/>
    <mergeCell ref="L93:P94"/>
    <mergeCell ref="R93:V94"/>
    <mergeCell ref="W93:Y94"/>
    <mergeCell ref="Z93:AB94"/>
    <mergeCell ref="AC93:AE94"/>
    <mergeCell ref="AF93:AF94"/>
    <mergeCell ref="AC22:AE22"/>
    <mergeCell ref="B23:D23"/>
    <mergeCell ref="E23:G23"/>
    <mergeCell ref="H23:J23"/>
    <mergeCell ref="K23:M23"/>
    <mergeCell ref="N23:P23"/>
    <mergeCell ref="Q23:S23"/>
    <mergeCell ref="T23:V23"/>
    <mergeCell ref="W23:Y23"/>
    <mergeCell ref="Z23:AB23"/>
    <mergeCell ref="AC23:AE23"/>
    <mergeCell ref="B22:D22"/>
    <mergeCell ref="E22:G22"/>
    <mergeCell ref="H22:J22"/>
    <mergeCell ref="K22:M22"/>
    <mergeCell ref="N22:P22"/>
    <mergeCell ref="Q22:S22"/>
    <mergeCell ref="T22:V22"/>
    <mergeCell ref="W22:Y22"/>
    <mergeCell ref="Z22:AB22"/>
    <mergeCell ref="W20:Y20"/>
    <mergeCell ref="Z20:AB20"/>
    <mergeCell ref="AC20:AE20"/>
    <mergeCell ref="B21:D21"/>
    <mergeCell ref="E21:G21"/>
    <mergeCell ref="H21:J21"/>
    <mergeCell ref="K21:M21"/>
    <mergeCell ref="N21:P21"/>
    <mergeCell ref="Q21:S21"/>
    <mergeCell ref="T21:V21"/>
    <mergeCell ref="W21:Y21"/>
    <mergeCell ref="Z21:AB21"/>
    <mergeCell ref="AC21:AE21"/>
    <mergeCell ref="AG16:AG17"/>
    <mergeCell ref="AH16:AI17"/>
    <mergeCell ref="B17:D17"/>
    <mergeCell ref="E17:K17"/>
    <mergeCell ref="B18:AI18"/>
    <mergeCell ref="AT18:AY19"/>
    <mergeCell ref="B19:D19"/>
    <mergeCell ref="E19:G19"/>
    <mergeCell ref="H19:J19"/>
    <mergeCell ref="K19:M19"/>
    <mergeCell ref="N19:P19"/>
    <mergeCell ref="Q19:S19"/>
    <mergeCell ref="T19:V19"/>
    <mergeCell ref="W19:Y19"/>
    <mergeCell ref="Z19:AB19"/>
    <mergeCell ref="AC19:AE19"/>
    <mergeCell ref="AF19:AQ22"/>
    <mergeCell ref="B20:D20"/>
    <mergeCell ref="E20:G20"/>
    <mergeCell ref="H20:J20"/>
    <mergeCell ref="K20:M20"/>
    <mergeCell ref="N20:P20"/>
    <mergeCell ref="Q20:S20"/>
    <mergeCell ref="T20:V20"/>
    <mergeCell ref="A16:A17"/>
    <mergeCell ref="B16:D16"/>
    <mergeCell ref="E16:K16"/>
    <mergeCell ref="L16:P17"/>
    <mergeCell ref="R16:V17"/>
    <mergeCell ref="W16:Y17"/>
    <mergeCell ref="Z16:AB17"/>
    <mergeCell ref="AC16:AE17"/>
    <mergeCell ref="AF16:AF17"/>
    <mergeCell ref="AH12:AI13"/>
    <mergeCell ref="B13:D13"/>
    <mergeCell ref="E13:K13"/>
    <mergeCell ref="A14:A15"/>
    <mergeCell ref="B14:D14"/>
    <mergeCell ref="E14:K14"/>
    <mergeCell ref="L14:P15"/>
    <mergeCell ref="R14:V15"/>
    <mergeCell ref="W14:Y15"/>
    <mergeCell ref="AC14:AE15"/>
    <mergeCell ref="AF14:AF15"/>
    <mergeCell ref="AG14:AG15"/>
    <mergeCell ref="AH14:AI15"/>
    <mergeCell ref="B15:D15"/>
    <mergeCell ref="E15:K15"/>
    <mergeCell ref="A12:A13"/>
    <mergeCell ref="B12:D12"/>
    <mergeCell ref="E12:K12"/>
    <mergeCell ref="L12:P13"/>
    <mergeCell ref="R12:V13"/>
    <mergeCell ref="W12:Y13"/>
    <mergeCell ref="AC12:AE13"/>
    <mergeCell ref="AF12:AF13"/>
    <mergeCell ref="AG12:AG13"/>
    <mergeCell ref="A10:A11"/>
    <mergeCell ref="B10:D10"/>
    <mergeCell ref="E10:K10"/>
    <mergeCell ref="L10:P11"/>
    <mergeCell ref="R10:V11"/>
    <mergeCell ref="AC10:AE11"/>
    <mergeCell ref="AF10:AF11"/>
    <mergeCell ref="AG10:AG11"/>
    <mergeCell ref="AH10:AI11"/>
    <mergeCell ref="B11:D11"/>
    <mergeCell ref="E11:K11"/>
    <mergeCell ref="AC7:AE7"/>
    <mergeCell ref="AH7:AI7"/>
    <mergeCell ref="A8:A9"/>
    <mergeCell ref="B8:D8"/>
    <mergeCell ref="E8:K8"/>
    <mergeCell ref="L8:P9"/>
    <mergeCell ref="R8:V9"/>
    <mergeCell ref="W8:Y9"/>
    <mergeCell ref="Z8:AB9"/>
    <mergeCell ref="AC8:AE9"/>
    <mergeCell ref="AF8:AF9"/>
    <mergeCell ref="AG8:AG9"/>
    <mergeCell ref="AH8:AI9"/>
    <mergeCell ref="B9:D9"/>
    <mergeCell ref="E9:K9"/>
    <mergeCell ref="B7:K7"/>
    <mergeCell ref="L7:P7"/>
    <mergeCell ref="Q7:Q17"/>
    <mergeCell ref="R7:V7"/>
    <mergeCell ref="W7:Y7"/>
    <mergeCell ref="Z7:AB7"/>
    <mergeCell ref="W10:Y11"/>
    <mergeCell ref="Z10:AB11"/>
    <mergeCell ref="Z12:AB13"/>
    <mergeCell ref="Z14:AB15"/>
    <mergeCell ref="C6:H6"/>
    <mergeCell ref="I6:J6"/>
    <mergeCell ref="K6:AI6"/>
    <mergeCell ref="H4:M4"/>
    <mergeCell ref="N4:T4"/>
    <mergeCell ref="U4:Y4"/>
    <mergeCell ref="Z4:AE4"/>
    <mergeCell ref="B5:J5"/>
    <mergeCell ref="K5:AE5"/>
    <mergeCell ref="AT1:AW1"/>
    <mergeCell ref="AX1:AY1"/>
    <mergeCell ref="J2:T2"/>
    <mergeCell ref="U2:W2"/>
    <mergeCell ref="X2:AE2"/>
    <mergeCell ref="AD3:AE3"/>
    <mergeCell ref="P3:T3"/>
    <mergeCell ref="U3:Z3"/>
    <mergeCell ref="AB3:AC3"/>
    <mergeCell ref="A1:AE1"/>
    <mergeCell ref="B3:C3"/>
    <mergeCell ref="D3:K3"/>
    <mergeCell ref="L3:O3"/>
  </mergeCells>
  <conditionalFormatting sqref="A8 A93 A178">
    <cfRule type="expression" dxfId="1359" priority="204" stopIfTrue="1">
      <formula>IF(AK9&gt;0,0,1)</formula>
    </cfRule>
  </conditionalFormatting>
  <conditionalFormatting sqref="A10:A11 A95:A96 A180:A181">
    <cfRule type="expression" dxfId="1358" priority="203" stopIfTrue="1">
      <formula>IF(AK9&gt;1,0,1)</formula>
    </cfRule>
  </conditionalFormatting>
  <conditionalFormatting sqref="A12:A13 A97:A98 A182:A183">
    <cfRule type="expression" dxfId="1357" priority="202" stopIfTrue="1">
      <formula>IF(AK9&gt;2,0,1)</formula>
    </cfRule>
  </conditionalFormatting>
  <conditionalFormatting sqref="A14:A15 A99:A100 A184:A185">
    <cfRule type="expression" dxfId="1356" priority="201" stopIfTrue="1">
      <formula>IF(AK9&gt;3,0,1)</formula>
    </cfRule>
  </conditionalFormatting>
  <conditionalFormatting sqref="A16:A17 A101:A102 A186:A187">
    <cfRule type="expression" dxfId="1355" priority="200" stopIfTrue="1">
      <formula>IF(AK9&gt;4,0,1)</formula>
    </cfRule>
  </conditionalFormatting>
  <conditionalFormatting sqref="B93 B8 B178">
    <cfRule type="expression" dxfId="1354" priority="199" stopIfTrue="1">
      <formula>IF(AK9&gt;0,0,1)</formula>
    </cfRule>
  </conditionalFormatting>
  <conditionalFormatting sqref="B94 B9 B179">
    <cfRule type="expression" dxfId="1353" priority="198" stopIfTrue="1">
      <formula>IF(AK9&gt;0,0,1)</formula>
    </cfRule>
  </conditionalFormatting>
  <conditionalFormatting sqref="B95 B10 B180">
    <cfRule type="expression" dxfId="1352" priority="197" stopIfTrue="1">
      <formula>IF(AK9&gt;1,0,1)</formula>
    </cfRule>
  </conditionalFormatting>
  <conditionalFormatting sqref="B96:D96 B11:D11 B181:D181">
    <cfRule type="expression" dxfId="1351" priority="196" stopIfTrue="1">
      <formula>IF(AK9&gt;1,0,1)</formula>
    </cfRule>
  </conditionalFormatting>
  <conditionalFormatting sqref="B97:D97 B12:D12 B182:D182">
    <cfRule type="expression" dxfId="1350" priority="195" stopIfTrue="1">
      <formula>IF(AK9&gt;2,0,1)</formula>
    </cfRule>
  </conditionalFormatting>
  <conditionalFormatting sqref="B98:D98 B13:D13 B183:D183">
    <cfRule type="expression" dxfId="1349" priority="194" stopIfTrue="1">
      <formula>IF(AK9&gt;2,0,1)</formula>
    </cfRule>
  </conditionalFormatting>
  <conditionalFormatting sqref="B99:D99 B14:D14 B184:D184">
    <cfRule type="expression" dxfId="1348" priority="193" stopIfTrue="1">
      <formula>IF(AK9&gt;3,0,1)</formula>
    </cfRule>
  </conditionalFormatting>
  <conditionalFormatting sqref="B100:D100 B15:D15 B185:D185">
    <cfRule type="expression" dxfId="1347" priority="192" stopIfTrue="1">
      <formula>IF(AK9&gt;3,0,1)</formula>
    </cfRule>
  </conditionalFormatting>
  <conditionalFormatting sqref="B101:D101 B16:D16 B186:D186">
    <cfRule type="expression" dxfId="1346" priority="191" stopIfTrue="1">
      <formula>IF(AK9&gt;4,0,1)</formula>
    </cfRule>
  </conditionalFormatting>
  <conditionalFormatting sqref="B102:D102 B17:D17 B187:D187">
    <cfRule type="expression" dxfId="1345" priority="190" stopIfTrue="1">
      <formula>IF(AK9&gt;4,0,1)</formula>
    </cfRule>
  </conditionalFormatting>
  <conditionalFormatting sqref="E8 E93 E178">
    <cfRule type="expression" dxfId="1344" priority="189" stopIfTrue="1">
      <formula>IF(AK9&gt;0,0,1)</formula>
    </cfRule>
  </conditionalFormatting>
  <conditionalFormatting sqref="E9 E94 E179">
    <cfRule type="expression" dxfId="1343" priority="188" stopIfTrue="1">
      <formula>IF(AK9&gt;0,0,1)</formula>
    </cfRule>
  </conditionalFormatting>
  <conditionalFormatting sqref="E10 E95 E180">
    <cfRule type="expression" dxfId="1342" priority="187" stopIfTrue="1">
      <formula>IF(AK9&gt;1,0,1)</formula>
    </cfRule>
  </conditionalFormatting>
  <conditionalFormatting sqref="E11 E96 E181">
    <cfRule type="expression" dxfId="1341" priority="186" stopIfTrue="1">
      <formula>IF(AK9&gt;1,0,1)</formula>
    </cfRule>
  </conditionalFormatting>
  <conditionalFormatting sqref="E12 E97 E182">
    <cfRule type="expression" dxfId="1340" priority="185" stopIfTrue="1">
      <formula>IF(AK9&gt;2,0,1)</formula>
    </cfRule>
  </conditionalFormatting>
  <conditionalFormatting sqref="E13 E98 E183">
    <cfRule type="expression" dxfId="1339" priority="184" stopIfTrue="1">
      <formula>IF(AK9&gt;2,0,1)</formula>
    </cfRule>
  </conditionalFormatting>
  <conditionalFormatting sqref="E14 E99 E184">
    <cfRule type="expression" dxfId="1338" priority="183" stopIfTrue="1">
      <formula>IF(AK9&gt;3,0,1)</formula>
    </cfRule>
  </conditionalFormatting>
  <conditionalFormatting sqref="E15 E100 E185">
    <cfRule type="expression" dxfId="1337" priority="182" stopIfTrue="1">
      <formula>IF(AK9&gt;3,0,1)</formula>
    </cfRule>
  </conditionalFormatting>
  <conditionalFormatting sqref="E16 E101 E186">
    <cfRule type="expression" dxfId="1336" priority="181" stopIfTrue="1">
      <formula>IF(AK9&gt;4,0,1)</formula>
    </cfRule>
  </conditionalFormatting>
  <conditionalFormatting sqref="E17 E102 E187">
    <cfRule type="expression" dxfId="1335" priority="180" stopIfTrue="1">
      <formula>IF(AK9&gt;4,0,1)</formula>
    </cfRule>
  </conditionalFormatting>
  <conditionalFormatting sqref="AC8 AC93 AC178">
    <cfRule type="expression" dxfId="1334" priority="179" stopIfTrue="1">
      <formula>IF(AK11=1,IF(AK9&gt;0,0,1),1)</formula>
    </cfRule>
  </conditionalFormatting>
  <conditionalFormatting sqref="AC10:AE11 AC95:AE96 AC180:AE181">
    <cfRule type="expression" dxfId="1333" priority="178" stopIfTrue="1">
      <formula>IF(AK11=1,IF(AK9&gt;1,0,1),1)</formula>
    </cfRule>
  </conditionalFormatting>
  <conditionalFormatting sqref="AC12:AE13 AC97:AE98 AC182:AE183">
    <cfRule type="expression" dxfId="1332" priority="177" stopIfTrue="1">
      <formula>IF(AK11=1,IF(AK9&gt;2,0,1),1)</formula>
    </cfRule>
  </conditionalFormatting>
  <conditionalFormatting sqref="AC14:AE15 AC99:AE100 AC184:AE185">
    <cfRule type="expression" dxfId="1331" priority="176" stopIfTrue="1">
      <formula>IF(AK11=1,IF(AK9&gt;3,0,1),1)</formula>
    </cfRule>
  </conditionalFormatting>
  <conditionalFormatting sqref="AC16:AE17 AC101:AE102 AC186:AE187">
    <cfRule type="expression" dxfId="1330" priority="175" stopIfTrue="1">
      <formula>IF(AK11=1,IF(AK9&gt;4,0,1),1)</formula>
    </cfRule>
  </conditionalFormatting>
  <conditionalFormatting sqref="AH8 AH93 AH178">
    <cfRule type="expression" dxfId="1329" priority="174" stopIfTrue="1">
      <formula>IF(AK9&gt;0,0,1)</formula>
    </cfRule>
  </conditionalFormatting>
  <conditionalFormatting sqref="AH10:AI11 AH95:AI96 AH180:AI181">
    <cfRule type="expression" dxfId="1328" priority="173" stopIfTrue="1">
      <formula>IF(AK9&gt;1,0,1)</formula>
    </cfRule>
  </conditionalFormatting>
  <conditionalFormatting sqref="AH12:AI13 AH97:AI98 AH182:AI183">
    <cfRule type="expression" dxfId="1327" priority="172" stopIfTrue="1">
      <formula>IF(AK9&gt;2,0,1)</formula>
    </cfRule>
  </conditionalFormatting>
  <conditionalFormatting sqref="AH14:AI15 AH99:AI100 AH184:AI185">
    <cfRule type="expression" dxfId="1326" priority="171" stopIfTrue="1">
      <formula>IF(AK9&gt;3,0,1)</formula>
    </cfRule>
  </conditionalFormatting>
  <conditionalFormatting sqref="AH16:AI17 AH101:AI102 AH186:AI187">
    <cfRule type="expression" dxfId="1325" priority="170" stopIfTrue="1">
      <formula>IF(AK9&gt;4,0,1)</formula>
    </cfRule>
  </conditionalFormatting>
  <conditionalFormatting sqref="B19:D19">
    <cfRule type="expression" dxfId="1324" priority="169" stopIfTrue="1">
      <formula>IF(AK8&gt;0,0,1)</formula>
    </cfRule>
  </conditionalFormatting>
  <conditionalFormatting sqref="E19:G19">
    <cfRule type="expression" dxfId="1323" priority="168" stopIfTrue="1">
      <formula>IF(AK8&gt;1,0,1)</formula>
    </cfRule>
  </conditionalFormatting>
  <conditionalFormatting sqref="H19:J19">
    <cfRule type="expression" dxfId="1322" priority="167" stopIfTrue="1">
      <formula>IF(AK8&gt;2,0,1)</formula>
    </cfRule>
  </conditionalFormatting>
  <conditionalFormatting sqref="K19:M19 K104:M104 K189:M189">
    <cfRule type="expression" dxfId="1321" priority="166" stopIfTrue="1">
      <formula>IF(AK8&gt;3,0,1)</formula>
    </cfRule>
  </conditionalFormatting>
  <conditionalFormatting sqref="N19:P19 N104:P104 N189:P189">
    <cfRule type="expression" dxfId="1320" priority="165" stopIfTrue="1">
      <formula>IF(AK8&gt;4,0,1)</formula>
    </cfRule>
  </conditionalFormatting>
  <conditionalFormatting sqref="Q19:S19 Q104:S104 Q189:S189">
    <cfRule type="expression" dxfId="1319" priority="164" stopIfTrue="1">
      <formula>IF(AK8&gt;5,0,1)</formula>
    </cfRule>
  </conditionalFormatting>
  <conditionalFormatting sqref="T104:V104 T19:V19 T189:V189">
    <cfRule type="expression" dxfId="1318" priority="163" stopIfTrue="1">
      <formula>IF(AK8&gt;6,0,1)</formula>
    </cfRule>
  </conditionalFormatting>
  <conditionalFormatting sqref="W104:Y104 W19:Y19 W189:Y189">
    <cfRule type="expression" dxfId="1317" priority="162" stopIfTrue="1">
      <formula>IF(AK8&gt;7,0,1)</formula>
    </cfRule>
  </conditionalFormatting>
  <conditionalFormatting sqref="Z104:AB104 Z19:AB19 Z189:AB189">
    <cfRule type="expression" dxfId="1316" priority="161" stopIfTrue="1">
      <formula>IF(AK8&gt;8,0,1)</formula>
    </cfRule>
  </conditionalFormatting>
  <conditionalFormatting sqref="AC104:AE104 AC19:AE19 AC189:AE189">
    <cfRule type="expression" dxfId="1315" priority="160" stopIfTrue="1">
      <formula>IF(AK8&gt;9,0,1)</formula>
    </cfRule>
  </conditionalFormatting>
  <conditionalFormatting sqref="B20:D20 B105:D105 B190:D190">
    <cfRule type="expression" dxfId="1314" priority="159" stopIfTrue="1">
      <formula>IF(AK8&gt;0,0,1)</formula>
    </cfRule>
  </conditionalFormatting>
  <conditionalFormatting sqref="E20:G20 E105:G105 E190:G190">
    <cfRule type="expression" dxfId="1313" priority="158" stopIfTrue="1">
      <formula>IF(AK8&gt;1,0,1)</formula>
    </cfRule>
  </conditionalFormatting>
  <conditionalFormatting sqref="H20:J20 H105:J105 H190:J190">
    <cfRule type="expression" dxfId="1312" priority="157" stopIfTrue="1">
      <formula>IF(AK8&gt;2,0,1)</formula>
    </cfRule>
  </conditionalFormatting>
  <conditionalFormatting sqref="K20:M20 K105:M105 K190:M190">
    <cfRule type="expression" dxfId="1311" priority="156" stopIfTrue="1">
      <formula>IF(AK8&gt;3,0,1)</formula>
    </cfRule>
  </conditionalFormatting>
  <conditionalFormatting sqref="N20:P20 N105:P105 N190:P190">
    <cfRule type="expression" dxfId="1310" priority="155" stopIfTrue="1">
      <formula>IF(AK8&gt;4,0,1)</formula>
    </cfRule>
  </conditionalFormatting>
  <conditionalFormatting sqref="Q20:S20 Q105:S105 Q190:S190">
    <cfRule type="expression" dxfId="1309" priority="154" stopIfTrue="1">
      <formula>IF(AK8&gt;5,0,1)</formula>
    </cfRule>
  </conditionalFormatting>
  <conditionalFormatting sqref="T20:V20 T105:V105 T190:V190">
    <cfRule type="expression" dxfId="1308" priority="153" stopIfTrue="1">
      <formula>IF(AK8&gt;6,0,1)</formula>
    </cfRule>
  </conditionalFormatting>
  <conditionalFormatting sqref="W20:Y20 W105:Y105 W190:Y190">
    <cfRule type="expression" dxfId="1307" priority="152" stopIfTrue="1">
      <formula>IF(AK8&gt;7,0,1)</formula>
    </cfRule>
  </conditionalFormatting>
  <conditionalFormatting sqref="Z20:AB20 Z105:AB105 Z190:AB190">
    <cfRule type="expression" dxfId="1306" priority="151" stopIfTrue="1">
      <formula>IF(AK8&gt;8,0,1)</formula>
    </cfRule>
  </conditionalFormatting>
  <conditionalFormatting sqref="AC20:AE20 AC105:AE105 AC190:AE190">
    <cfRule type="expression" dxfId="1305" priority="150" stopIfTrue="1">
      <formula>IF(AK8&gt;9,0,1)</formula>
    </cfRule>
  </conditionalFormatting>
  <conditionalFormatting sqref="E22:G22 E107:G107 E192:G192">
    <cfRule type="expression" dxfId="1304" priority="149" stopIfTrue="1">
      <formula>IF(AK8&gt;1,0,1)</formula>
    </cfRule>
  </conditionalFormatting>
  <conditionalFormatting sqref="H22:J22 H107:J107 H192:J192">
    <cfRule type="expression" dxfId="1303" priority="148" stopIfTrue="1">
      <formula>IF(AK8&gt;2,0,1)</formula>
    </cfRule>
  </conditionalFormatting>
  <conditionalFormatting sqref="K22:M22 K107:M107 K192:M192">
    <cfRule type="expression" dxfId="1302" priority="147" stopIfTrue="1">
      <formula>IF(AK8&gt;3,0,1)</formula>
    </cfRule>
  </conditionalFormatting>
  <conditionalFormatting sqref="N22:P22 N107:P107 N192:P192">
    <cfRule type="expression" dxfId="1301" priority="146" stopIfTrue="1">
      <formula>IF(AK8&gt;4,0,1)</formula>
    </cfRule>
  </conditionalFormatting>
  <conditionalFormatting sqref="Q22:S22 Q107:S107 Q192:S192">
    <cfRule type="expression" dxfId="1300" priority="145" stopIfTrue="1">
      <formula>IF(AK8&gt;5,0,1)</formula>
    </cfRule>
  </conditionalFormatting>
  <conditionalFormatting sqref="T22:V22 T107:V107 T192:V192">
    <cfRule type="expression" dxfId="1299" priority="144" stopIfTrue="1">
      <formula>IF(AK8&gt;6,0,1)</formula>
    </cfRule>
  </conditionalFormatting>
  <conditionalFormatting sqref="W22:Y22 W107:Y107 W192:Y192">
    <cfRule type="expression" dxfId="1298" priority="143" stopIfTrue="1">
      <formula>IF(AK8&gt;7,0,1)</formula>
    </cfRule>
  </conditionalFormatting>
  <conditionalFormatting sqref="Z22:AB22 Z107:AB107 Z192:AB192">
    <cfRule type="expression" dxfId="1297" priority="142" stopIfTrue="1">
      <formula>IF(AK8&gt;8,0,1)</formula>
    </cfRule>
  </conditionalFormatting>
  <conditionalFormatting sqref="AC22:AE22 AC107:AE107 AC192:AE192">
    <cfRule type="expression" dxfId="1296" priority="141" stopIfTrue="1">
      <formula>IF(AK8&gt;9,0,1)</formula>
    </cfRule>
  </conditionalFormatting>
  <conditionalFormatting sqref="B24 B109 B194">
    <cfRule type="expression" dxfId="1295" priority="140" stopIfTrue="1">
      <formula>IF(AK8&gt;0,0,1)</formula>
    </cfRule>
  </conditionalFormatting>
  <conditionalFormatting sqref="C24 C109 C194">
    <cfRule type="expression" dxfId="1294" priority="139" stopIfTrue="1">
      <formula>IF(AK8&gt;0,0,1)</formula>
    </cfRule>
  </conditionalFormatting>
  <conditionalFormatting sqref="D24 D109 D194">
    <cfRule type="expression" dxfId="1293" priority="138" stopIfTrue="1">
      <formula>IF(AK8&gt;0,0,1)</formula>
    </cfRule>
  </conditionalFormatting>
  <conditionalFormatting sqref="E23:G23 E108:G108 E193:G193">
    <cfRule type="expression" dxfId="1292" priority="137" stopIfTrue="1">
      <formula>IF(AK8&gt;1,0,1)</formula>
    </cfRule>
  </conditionalFormatting>
  <conditionalFormatting sqref="F24 F109 F194">
    <cfRule type="expression" dxfId="1291" priority="136" stopIfTrue="1">
      <formula>IF(AK8&gt;1,0,1)</formula>
    </cfRule>
  </conditionalFormatting>
  <conditionalFormatting sqref="G24 G109 G194">
    <cfRule type="expression" dxfId="1290" priority="135" stopIfTrue="1">
      <formula>IF(AK8&gt;1,0,1)</formula>
    </cfRule>
  </conditionalFormatting>
  <conditionalFormatting sqref="H23:J23 H108:J108 H193:J193">
    <cfRule type="expression" dxfId="1289" priority="134" stopIfTrue="1">
      <formula>IF(AK8&gt;2,0,1)</formula>
    </cfRule>
  </conditionalFormatting>
  <conditionalFormatting sqref="I24 I109 I194">
    <cfRule type="expression" dxfId="1288" priority="133" stopIfTrue="1">
      <formula>IF(AK8&gt;2,0,1)</formula>
    </cfRule>
  </conditionalFormatting>
  <conditionalFormatting sqref="J24 J109 J194">
    <cfRule type="expression" dxfId="1287" priority="132" stopIfTrue="1">
      <formula>IF(AK8&gt;2,0,1)</formula>
    </cfRule>
  </conditionalFormatting>
  <conditionalFormatting sqref="K23:M23 K108:M108 K193:M193">
    <cfRule type="expression" dxfId="1286" priority="131" stopIfTrue="1">
      <formula>IF(AK8&gt;3,0,1)</formula>
    </cfRule>
  </conditionalFormatting>
  <conditionalFormatting sqref="L24 L109 L194">
    <cfRule type="expression" dxfId="1285" priority="130" stopIfTrue="1">
      <formula>IF(AK8&gt;3,0,1)</formula>
    </cfRule>
  </conditionalFormatting>
  <conditionalFormatting sqref="M24 M109 M194">
    <cfRule type="expression" dxfId="1284" priority="129" stopIfTrue="1">
      <formula>IF(AK8&gt;3,0,1)</formula>
    </cfRule>
  </conditionalFormatting>
  <conditionalFormatting sqref="N23:P23 N108:P108 N193:P193">
    <cfRule type="expression" dxfId="1283" priority="128" stopIfTrue="1">
      <formula>IF(AK8&gt;4,0,1)</formula>
    </cfRule>
  </conditionalFormatting>
  <conditionalFormatting sqref="O24 O109 O194">
    <cfRule type="expression" dxfId="1282" priority="127" stopIfTrue="1">
      <formula>IF(AK8&gt;4,0,1)</formula>
    </cfRule>
  </conditionalFormatting>
  <conditionalFormatting sqref="P24 P109 P194">
    <cfRule type="expression" dxfId="1281" priority="126" stopIfTrue="1">
      <formula>IF(AK8&gt;4,0,1)</formula>
    </cfRule>
  </conditionalFormatting>
  <conditionalFormatting sqref="Q23:S23 Q108:S108 Q193:S193">
    <cfRule type="expression" dxfId="1280" priority="125" stopIfTrue="1">
      <formula>IF(AK8&gt;5,0,1)</formula>
    </cfRule>
  </conditionalFormatting>
  <conditionalFormatting sqref="R24 R109 R194">
    <cfRule type="expression" dxfId="1279" priority="124" stopIfTrue="1">
      <formula>IF(AK8&gt;5,0,1)</formula>
    </cfRule>
  </conditionalFormatting>
  <conditionalFormatting sqref="S24 S109 S194">
    <cfRule type="expression" dxfId="1278" priority="123" stopIfTrue="1">
      <formula>IF(AK8&gt;5,0,1)</formula>
    </cfRule>
  </conditionalFormatting>
  <conditionalFormatting sqref="T23:V23 T108:V108 T193:V193">
    <cfRule type="expression" dxfId="1277" priority="122" stopIfTrue="1">
      <formula>IF(AK8&gt;6,0,1)</formula>
    </cfRule>
  </conditionalFormatting>
  <conditionalFormatting sqref="U24 U109 U194">
    <cfRule type="expression" dxfId="1276" priority="121" stopIfTrue="1">
      <formula>IF(AK8&gt;6,0,1)</formula>
    </cfRule>
  </conditionalFormatting>
  <conditionalFormatting sqref="V24 V109 V194">
    <cfRule type="expression" dxfId="1275" priority="120" stopIfTrue="1">
      <formula>IF(AK8&gt;6,0,1)</formula>
    </cfRule>
  </conditionalFormatting>
  <conditionalFormatting sqref="W23:Y23 W108:Y108 W193:Y193">
    <cfRule type="expression" dxfId="1274" priority="119" stopIfTrue="1">
      <formula>IF(AK8&gt;7,0,1)</formula>
    </cfRule>
  </conditionalFormatting>
  <conditionalFormatting sqref="X24 X109 X194">
    <cfRule type="expression" dxfId="1273" priority="118" stopIfTrue="1">
      <formula>IF(AK8&gt;7,0,1)</formula>
    </cfRule>
  </conditionalFormatting>
  <conditionalFormatting sqref="Y24 Y109 Y194">
    <cfRule type="expression" dxfId="1272" priority="117" stopIfTrue="1">
      <formula>IF(AK8&gt;7,0,1)</formula>
    </cfRule>
  </conditionalFormatting>
  <conditionalFormatting sqref="Z23:AB23 Z108:AB108 Z193:AB193">
    <cfRule type="expression" dxfId="1271" priority="116" stopIfTrue="1">
      <formula>IF(AK8&gt;8,0,1)</formula>
    </cfRule>
  </conditionalFormatting>
  <conditionalFormatting sqref="AA24 AA109 AA194">
    <cfRule type="expression" dxfId="1270" priority="115" stopIfTrue="1">
      <formula>IF(AK8&gt;8,0,1)</formula>
    </cfRule>
  </conditionalFormatting>
  <conditionalFormatting sqref="AB24 AB109 AB194">
    <cfRule type="expression" dxfId="1269" priority="114" stopIfTrue="1">
      <formula>IF(AK8&gt;8,0,1)</formula>
    </cfRule>
  </conditionalFormatting>
  <conditionalFormatting sqref="AC23:AE23 AC108:AE108 AC193:AE193">
    <cfRule type="expression" dxfId="1268" priority="113" stopIfTrue="1">
      <formula>IF(AK8&gt;9,0,1)</formula>
    </cfRule>
  </conditionalFormatting>
  <conditionalFormatting sqref="AD24 AD109 AD194">
    <cfRule type="expression" dxfId="1267" priority="112" stopIfTrue="1">
      <formula>IF(AK8&gt;9,0,1)</formula>
    </cfRule>
  </conditionalFormatting>
  <conditionalFormatting sqref="AE24 AE109 AE194">
    <cfRule type="expression" dxfId="1266" priority="111" stopIfTrue="1">
      <formula>IF(AK8&gt;9,0,1)</formula>
    </cfRule>
  </conditionalFormatting>
  <conditionalFormatting sqref="A111 A26 A196">
    <cfRule type="expression" dxfId="1265" priority="110" stopIfTrue="1">
      <formula>IF(AK7&gt;1,0,1)</formula>
    </cfRule>
  </conditionalFormatting>
  <conditionalFormatting sqref="A112 A27 A197">
    <cfRule type="expression" dxfId="1264" priority="109" stopIfTrue="1">
      <formula>IF(AK7&gt;2,0,1)</formula>
    </cfRule>
  </conditionalFormatting>
  <conditionalFormatting sqref="A113 A28 A198">
    <cfRule type="expression" dxfId="1263" priority="108" stopIfTrue="1">
      <formula>IF(AK7&gt;3,0,1)</formula>
    </cfRule>
  </conditionalFormatting>
  <conditionalFormatting sqref="A114 A29 A199">
    <cfRule type="expression" dxfId="1262" priority="107" stopIfTrue="1">
      <formula>IF(AK7&gt;4,0,1)</formula>
    </cfRule>
  </conditionalFormatting>
  <conditionalFormatting sqref="B110:D110 B25:D25 B195:D195">
    <cfRule type="expression" dxfId="1261" priority="106" stopIfTrue="1">
      <formula>IF($AK8&gt;0,0,1)</formula>
    </cfRule>
  </conditionalFormatting>
  <conditionalFormatting sqref="B111:D111 B26:D26 B196:D196">
    <cfRule type="expression" dxfId="1260" priority="105" stopIfTrue="1">
      <formula>IF($AK8&lt;1,1,IF($AK7&lt;2,1,0))</formula>
    </cfRule>
  </conditionalFormatting>
  <conditionalFormatting sqref="B112:D112 B27:D27 B197:D197">
    <cfRule type="expression" dxfId="1259" priority="104" stopIfTrue="1">
      <formula>IF($AK8&lt;1,1,IF($AK7&lt;3,1,0))</formula>
    </cfRule>
  </conditionalFormatting>
  <conditionalFormatting sqref="B113:D113 B28:D28 B198:D198">
    <cfRule type="expression" dxfId="1258" priority="103" stopIfTrue="1">
      <formula>IF($AK8&lt;1,1,IF($AK7&lt;4,1,0))</formula>
    </cfRule>
  </conditionalFormatting>
  <conditionalFormatting sqref="B114:D114 B29:D29 B199:D199">
    <cfRule type="expression" dxfId="1257" priority="102" stopIfTrue="1">
      <formula>IF($AK8&lt;1,1,IF($AK7&lt;5,1,0))</formula>
    </cfRule>
  </conditionalFormatting>
  <conditionalFormatting sqref="AF111 AF26 AF196">
    <cfRule type="expression" dxfId="1256" priority="101" stopIfTrue="1">
      <formula>IF($AK9&gt;2,0,1)</formula>
    </cfRule>
  </conditionalFormatting>
  <conditionalFormatting sqref="AF110 AF25 AF195">
    <cfRule type="expression" dxfId="1255" priority="100" stopIfTrue="1">
      <formula>IF($AK9&gt;1,0,1)</formula>
    </cfRule>
  </conditionalFormatting>
  <conditionalFormatting sqref="AF109 AF24 AF194">
    <cfRule type="expression" dxfId="1254" priority="99" stopIfTrue="1">
      <formula>IF($AK9&gt;0,0,1)</formula>
    </cfRule>
  </conditionalFormatting>
  <conditionalFormatting sqref="AF112 AF27 AF197">
    <cfRule type="expression" dxfId="1253" priority="98" stopIfTrue="1">
      <formula>IF($AK9&gt;3,0,1)</formula>
    </cfRule>
  </conditionalFormatting>
  <conditionalFormatting sqref="AF113 AF28 AF198">
    <cfRule type="expression" dxfId="1252" priority="97" stopIfTrue="1">
      <formula>IF($AK9&gt;4,0,1)</formula>
    </cfRule>
  </conditionalFormatting>
  <conditionalFormatting sqref="AG108 AG23 AG193">
    <cfRule type="expression" dxfId="1251" priority="96" stopIfTrue="1">
      <formula>IF($AK8&lt;1,1,0)</formula>
    </cfRule>
  </conditionalFormatting>
  <conditionalFormatting sqref="AH108 AH23 AH193">
    <cfRule type="expression" dxfId="1250" priority="95" stopIfTrue="1">
      <formula>IF($AK8&lt;2,1,0)</formula>
    </cfRule>
  </conditionalFormatting>
  <conditionalFormatting sqref="AI108 AI23 AI193">
    <cfRule type="expression" dxfId="1249" priority="94" stopIfTrue="1">
      <formula>IF($AK8&lt;3,1,0)</formula>
    </cfRule>
  </conditionalFormatting>
  <conditionalFormatting sqref="AJ108 AJ23 AJ193">
    <cfRule type="expression" dxfId="1248" priority="93" stopIfTrue="1">
      <formula>IF($AK8&lt;4,1,0)</formula>
    </cfRule>
  </conditionalFormatting>
  <conditionalFormatting sqref="AK108 AK23 AK193">
    <cfRule type="expression" dxfId="1247" priority="92" stopIfTrue="1">
      <formula>IF($AK8&lt;5,1,0)</formula>
    </cfRule>
  </conditionalFormatting>
  <conditionalFormatting sqref="AL108 AL23 AL193">
    <cfRule type="expression" dxfId="1246" priority="91" stopIfTrue="1">
      <formula>IF($AK8&lt;6,1,0)</formula>
    </cfRule>
  </conditionalFormatting>
  <conditionalFormatting sqref="AM108 AM23 AM193">
    <cfRule type="expression" dxfId="1245" priority="90" stopIfTrue="1">
      <formula>IF($AK8&lt;7,1,0)</formula>
    </cfRule>
  </conditionalFormatting>
  <conditionalFormatting sqref="AN108 AN23 AN193">
    <cfRule type="expression" dxfId="1244" priority="89" stopIfTrue="1">
      <formula>IF($AK8&lt;8,1,0)</formula>
    </cfRule>
  </conditionalFormatting>
  <conditionalFormatting sqref="AO108 AO23 AO193">
    <cfRule type="expression" dxfId="1243" priority="88" stopIfTrue="1">
      <formula>IF($AK8&lt;9,1,0)</formula>
    </cfRule>
  </conditionalFormatting>
  <conditionalFormatting sqref="AP108 AP23 AP193">
    <cfRule type="expression" dxfId="1242" priority="87" stopIfTrue="1">
      <formula>IF($AK8&lt;10,1,0)</formula>
    </cfRule>
  </conditionalFormatting>
  <conditionalFormatting sqref="AQ109 AQ24 AQ194">
    <cfRule type="expression" dxfId="1241" priority="86" stopIfTrue="1">
      <formula>IF($AK9&gt;0,0,1)</formula>
    </cfRule>
  </conditionalFormatting>
  <conditionalFormatting sqref="AQ110 AQ25 AQ195">
    <cfRule type="expression" dxfId="1240" priority="85" stopIfTrue="1">
      <formula>IF($AK9&gt;1,0,1)</formula>
    </cfRule>
  </conditionalFormatting>
  <conditionalFormatting sqref="AQ111 H110:J110 AQ26 H25:J25 AQ196 H195:J195">
    <cfRule type="expression" dxfId="1239" priority="84" stopIfTrue="1">
      <formula>IF($AK8&gt;2,0,1)</formula>
    </cfRule>
  </conditionalFormatting>
  <conditionalFormatting sqref="K110:M110 K25:M25 K195:M195">
    <cfRule type="expression" dxfId="1238" priority="83" stopIfTrue="1">
      <formula>IF($AK8&gt;3,0,1)</formula>
    </cfRule>
  </conditionalFormatting>
  <conditionalFormatting sqref="AQ113 AQ28 AQ198">
    <cfRule type="expression" dxfId="1237" priority="82" stopIfTrue="1">
      <formula>IF($AK9&gt;4,0,1)</formula>
    </cfRule>
  </conditionalFormatting>
  <conditionalFormatting sqref="E111:G111 E26:G26 E196:G196">
    <cfRule type="expression" dxfId="1236" priority="81" stopIfTrue="1">
      <formula>IF($AK8&lt;2,1,IF($AK7&lt;2,1,0))</formula>
    </cfRule>
  </conditionalFormatting>
  <conditionalFormatting sqref="E112:G112 E27:G27 E197:G197">
    <cfRule type="expression" dxfId="1235" priority="80" stopIfTrue="1">
      <formula>IF($AK8&lt;2,1,IF($AK7&lt;3,1,0))</formula>
    </cfRule>
  </conditionalFormatting>
  <conditionalFormatting sqref="E113:G113 E28:G28 E198:G198">
    <cfRule type="expression" dxfId="1234" priority="79" stopIfTrue="1">
      <formula>IF($AK8&lt;2,1,IF($AK7&lt;4,1,0))</formula>
    </cfRule>
  </conditionalFormatting>
  <conditionalFormatting sqref="E114:G114 E29:G29 E199:G199">
    <cfRule type="expression" dxfId="1233" priority="78" stopIfTrue="1">
      <formula>IF($AK8&lt;2,1,IF($AK7&lt;5,1,0))</formula>
    </cfRule>
  </conditionalFormatting>
  <conditionalFormatting sqref="N110:P110 N25:P25 N195:P195">
    <cfRule type="expression" dxfId="1232" priority="77" stopIfTrue="1">
      <formula>IF($AK8&gt;4,0,1)</formula>
    </cfRule>
  </conditionalFormatting>
  <conditionalFormatting sqref="Q110:S110 Q25:S25 Q195:S195">
    <cfRule type="expression" dxfId="1231" priority="76" stopIfTrue="1">
      <formula>IF($AK8&gt;5,0,1)</formula>
    </cfRule>
  </conditionalFormatting>
  <conditionalFormatting sqref="T110:V110 T25:V25 T195:V195">
    <cfRule type="expression" dxfId="1230" priority="75" stopIfTrue="1">
      <formula>IF($AK8&gt;6,0,1)</formula>
    </cfRule>
  </conditionalFormatting>
  <conditionalFormatting sqref="W110:Y110 W25:Y25 W195:Y195">
    <cfRule type="expression" dxfId="1229" priority="74" stopIfTrue="1">
      <formula>IF($AK8&gt;7,0,1)</formula>
    </cfRule>
  </conditionalFormatting>
  <conditionalFormatting sqref="Z110:AB110 Z25:AB25 Z195:AB195">
    <cfRule type="expression" dxfId="1228" priority="73" stopIfTrue="1">
      <formula>IF($AK8&gt;8,0,1)</formula>
    </cfRule>
  </conditionalFormatting>
  <conditionalFormatting sqref="AC110:AE110 AC25:AE25 AC195:AE195">
    <cfRule type="expression" dxfId="1227" priority="72" stopIfTrue="1">
      <formula>IF($AK8&gt;9,0,1)</formula>
    </cfRule>
  </conditionalFormatting>
  <conditionalFormatting sqref="H111:J111 H26:J26 H196:J196">
    <cfRule type="expression" dxfId="1226" priority="71" stopIfTrue="1">
      <formula>IF($AK8&lt;3,1,IF($AK7&lt;2,1,0))</formula>
    </cfRule>
  </conditionalFormatting>
  <conditionalFormatting sqref="K111:M111 K26:M26 K196:M196">
    <cfRule type="expression" dxfId="1225" priority="70" stopIfTrue="1">
      <formula>IF($AK8&lt;4,1,IF($AK7&lt;2,1,0))</formula>
    </cfRule>
  </conditionalFormatting>
  <conditionalFormatting sqref="N111:P111 N26:P26 N196:P196">
    <cfRule type="expression" dxfId="1224" priority="69" stopIfTrue="1">
      <formula>IF($AK8&lt;5,1,IF($AK7&lt;2,1,0))</formula>
    </cfRule>
  </conditionalFormatting>
  <conditionalFormatting sqref="Q111:S111 Q26:S26 Q196:S196">
    <cfRule type="expression" dxfId="1223" priority="68" stopIfTrue="1">
      <formula>IF($AK8&lt;6,1,IF($AK7&lt;2,1,0))</formula>
    </cfRule>
  </conditionalFormatting>
  <conditionalFormatting sqref="T111:V111 T26:V26 T196:V196">
    <cfRule type="expression" dxfId="1222" priority="67" stopIfTrue="1">
      <formula>IF($AK8&lt;7,1,IF($AK7&lt;2,1,0))</formula>
    </cfRule>
  </conditionalFormatting>
  <conditionalFormatting sqref="W111:Y111 W26:Y26 W196:Y196">
    <cfRule type="expression" dxfId="1221" priority="66" stopIfTrue="1">
      <formula>IF($AK8&lt;8,1,IF($AK7&lt;2,1,0))</formula>
    </cfRule>
  </conditionalFormatting>
  <conditionalFormatting sqref="Z111:AB111 Z26:AB26 Z196:AB196">
    <cfRule type="expression" dxfId="1220" priority="65" stopIfTrue="1">
      <formula>IF($AK8&lt;9,1,IF($AK7&lt;2,1,0))</formula>
    </cfRule>
  </conditionalFormatting>
  <conditionalFormatting sqref="AC111:AE111 AC26:AE26 AC196:AE196">
    <cfRule type="expression" dxfId="1219" priority="64" stopIfTrue="1">
      <formula>IF($AK8&lt;10,1,IF($AK7&lt;2,1,0))</formula>
    </cfRule>
  </conditionalFormatting>
  <conditionalFormatting sqref="H112:J112 H27:J27 H197:J197">
    <cfRule type="expression" dxfId="1218" priority="63" stopIfTrue="1">
      <formula>IF($AK8&lt;3,1,IF($AK7&lt;3,1,0))</formula>
    </cfRule>
  </conditionalFormatting>
  <conditionalFormatting sqref="K112:M112 K27:M27 K197:M197">
    <cfRule type="expression" dxfId="1217" priority="62" stopIfTrue="1">
      <formula>IF($AK8&lt;4,1,IF($AK7&lt;3,1,0))</formula>
    </cfRule>
  </conditionalFormatting>
  <conditionalFormatting sqref="N112:P112 N27:P27 N197:P197">
    <cfRule type="expression" dxfId="1216" priority="61" stopIfTrue="1">
      <formula>IF($AK8&lt;5,1,IF($AK7&lt;3,1,0))</formula>
    </cfRule>
  </conditionalFormatting>
  <conditionalFormatting sqref="Q112:S112 Q27:S27 Q197:S197">
    <cfRule type="expression" dxfId="1215" priority="60" stopIfTrue="1">
      <formula>IF($AK8&lt;6,1,IF($AK7&lt;3,1,0))</formula>
    </cfRule>
  </conditionalFormatting>
  <conditionalFormatting sqref="T112:V112 T27:V27 T197:V197">
    <cfRule type="expression" dxfId="1214" priority="59" stopIfTrue="1">
      <formula>IF($AK8&lt;7,1,IF($AK7&lt;3,1,0))</formula>
    </cfRule>
  </conditionalFormatting>
  <conditionalFormatting sqref="W112:Y112 W27:Y27 W197:Y197">
    <cfRule type="expression" dxfId="1213" priority="58" stopIfTrue="1">
      <formula>IF($AK8&lt;8,1,IF($AK7&lt;3,1,0))</formula>
    </cfRule>
  </conditionalFormatting>
  <conditionalFormatting sqref="Z112:AB112 Z27:AB27 Z197:AB197">
    <cfRule type="expression" dxfId="1212" priority="57" stopIfTrue="1">
      <formula>IF($AK8&lt;9,1,IF($AK7&lt;3,1,0))</formula>
    </cfRule>
  </conditionalFormatting>
  <conditionalFormatting sqref="AC112:AE112 AC27:AE27 AC197:AE197">
    <cfRule type="expression" dxfId="1211" priority="56" stopIfTrue="1">
      <formula>IF($AK8&lt;10,1,IF($AK7&lt;3,1,0))</formula>
    </cfRule>
  </conditionalFormatting>
  <conditionalFormatting sqref="H113:J113 H28:J28 H198:J198">
    <cfRule type="expression" dxfId="1210" priority="55" stopIfTrue="1">
      <formula>IF($AK8&lt;3,1,IF($AK7&lt;4,1,0))</formula>
    </cfRule>
  </conditionalFormatting>
  <conditionalFormatting sqref="K113:M113 K28:M28 K198:M198">
    <cfRule type="expression" dxfId="1209" priority="54" stopIfTrue="1">
      <formula>IF($AK8&lt;4,1,IF($AK7&lt;4,1,0))</formula>
    </cfRule>
  </conditionalFormatting>
  <conditionalFormatting sqref="N113:P113 N28:P28 N198:P198">
    <cfRule type="expression" dxfId="1208" priority="53" stopIfTrue="1">
      <formula>IF($AK8&lt;5,1,IF($AK7&lt;4,1,0))</formula>
    </cfRule>
  </conditionalFormatting>
  <conditionalFormatting sqref="Q113:S113 Q28:S28 Q198:S198">
    <cfRule type="expression" dxfId="1207" priority="52" stopIfTrue="1">
      <formula>IF($AK8&lt;6,1,IF($AK7&lt;4,1,0))</formula>
    </cfRule>
  </conditionalFormatting>
  <conditionalFormatting sqref="T113:V113 T28:V28 T198:V198">
    <cfRule type="expression" dxfId="1206" priority="51" stopIfTrue="1">
      <formula>IF($AK8&lt;7,1,IF($AK7&lt;4,1,0))</formula>
    </cfRule>
  </conditionalFormatting>
  <conditionalFormatting sqref="W113:Y113 W28:Y28 W198:Y198">
    <cfRule type="expression" dxfId="1205" priority="50" stopIfTrue="1">
      <formula>IF($AK8&lt;8,1,IF($AK7&lt;4,1,0))</formula>
    </cfRule>
  </conditionalFormatting>
  <conditionalFormatting sqref="Z113:AB113 Z28:AB28 Z198:AB198">
    <cfRule type="expression" dxfId="1204" priority="49" stopIfTrue="1">
      <formula>IF($AK8&lt;9,1,IF($AK7&lt;4,1,0))</formula>
    </cfRule>
  </conditionalFormatting>
  <conditionalFormatting sqref="AC113:AE113 AC28:AE28 AC198:AE198">
    <cfRule type="expression" dxfId="1203" priority="48" stopIfTrue="1">
      <formula>IF($AK8&lt;10,1,IF($AK7&lt;4,1,0))</formula>
    </cfRule>
  </conditionalFormatting>
  <conditionalFormatting sqref="H114:J114 H29:J29 H199:J199">
    <cfRule type="expression" dxfId="1202" priority="47" stopIfTrue="1">
      <formula>IF($AK8&lt;3,1,IF($AK7&lt;5,1,0))</formula>
    </cfRule>
  </conditionalFormatting>
  <conditionalFormatting sqref="K114:M114 K29:M29 K199:M199">
    <cfRule type="expression" dxfId="1201" priority="46" stopIfTrue="1">
      <formula>IF($AK8&lt;4,1,IF($AK7&lt;5,1,0))</formula>
    </cfRule>
  </conditionalFormatting>
  <conditionalFormatting sqref="N114:P114 N29:P29 N199:P199">
    <cfRule type="expression" dxfId="1200" priority="45" stopIfTrue="1">
      <formula>IF($AK8&lt;5,1,IF($AK7&lt;5,1,0))</formula>
    </cfRule>
  </conditionalFormatting>
  <conditionalFormatting sqref="Q114:S114 Q29:S29 Q199:S199">
    <cfRule type="expression" dxfId="1199" priority="44" stopIfTrue="1">
      <formula>IF($AK8&lt;6,1,IF($AK7&lt;5,1,0))</formula>
    </cfRule>
  </conditionalFormatting>
  <conditionalFormatting sqref="T114:V114 T29:V29 T199:V199">
    <cfRule type="expression" dxfId="1198" priority="43" stopIfTrue="1">
      <formula>IF($AK8&lt;7,1,IF($AK7&lt;5,1,0))</formula>
    </cfRule>
  </conditionalFormatting>
  <conditionalFormatting sqref="W114:Y114 W29:Y29 W199:Y199">
    <cfRule type="expression" dxfId="1197" priority="42" stopIfTrue="1">
      <formula>IF($AK8&lt;8,1,IF($AK7&lt;5,1,0))</formula>
    </cfRule>
  </conditionalFormatting>
  <conditionalFormatting sqref="Z114:AB114 Z29:AB29 Z199:AB199">
    <cfRule type="expression" dxfId="1196" priority="41" stopIfTrue="1">
      <formula>IF($AK8&lt;9,1,IF($AK7&lt;5,1,0))</formula>
    </cfRule>
  </conditionalFormatting>
  <conditionalFormatting sqref="AC114:AE114 AC29:AE29 AC199:AE199">
    <cfRule type="expression" dxfId="1195" priority="40" stopIfTrue="1">
      <formula>IF($AK8&lt;10,1,IF($AK7&lt;5,1,0))</formula>
    </cfRule>
  </conditionalFormatting>
  <conditionalFormatting sqref="R99:AB100 AF99:AF100 L99:P100 R14:AB15 AF14:AF15 L14:P15 R184:AB185 AF184:AF185 L184:P185 AG14 AG99 AG184">
    <cfRule type="expression" dxfId="1194" priority="39" stopIfTrue="1">
      <formula>IF($AK9&gt;3,0,1)</formula>
    </cfRule>
  </conditionalFormatting>
  <conditionalFormatting sqref="R101:AB102 AF101:AF102 L101:P102 R16:AB17 AF16:AF17 L16:P17 R186:AB187 AF186:AF187 L186:P187 AG16 AG101 AG186">
    <cfRule type="expression" dxfId="1193" priority="38" stopIfTrue="1">
      <formula>IF($AK9&gt;4,0,1)</formula>
    </cfRule>
  </conditionalFormatting>
  <conditionalFormatting sqref="R93:AB94 AF93:AF94 L93:P94 R8:AB9 AF8:AF9 L8:P9 R178:AB179 AF178:AF179 L178:P179 AG8 AG93 AG178">
    <cfRule type="expression" dxfId="1192" priority="37" stopIfTrue="1">
      <formula>IF($AK9&gt;0,0,1)</formula>
    </cfRule>
  </conditionalFormatting>
  <conditionalFormatting sqref="R95:AB96 AF95:AF96 L95:P96 R10:AB11 AF10:AF11 L10:P11 R180:AB181 AF180:AF181 L180:P181 AG10 AG95 AG180">
    <cfRule type="expression" dxfId="1191" priority="36" stopIfTrue="1">
      <formula>IF($AK9&gt;1,0,1)</formula>
    </cfRule>
  </conditionalFormatting>
  <conditionalFormatting sqref="R97:AB98 AF97:AF98 L97:P98 R12:AB13 AF12:AF13 L12:P13 R182:AB183 AF182:AF183 L182:P183 AG12 AG97 AG182">
    <cfRule type="expression" dxfId="1190" priority="35" stopIfTrue="1">
      <formula>IF($AK9&gt;2,0,1)</formula>
    </cfRule>
  </conditionalFormatting>
  <conditionalFormatting sqref="E24 E109 E194">
    <cfRule type="expression" dxfId="1189" priority="34" stopIfTrue="1">
      <formula>IF(AK8&gt;1,0,1)</formula>
    </cfRule>
  </conditionalFormatting>
  <conditionalFormatting sqref="H24 H109 H194">
    <cfRule type="expression" dxfId="1188" priority="33" stopIfTrue="1">
      <formula>IF(AK8&gt;2,0,1)</formula>
    </cfRule>
  </conditionalFormatting>
  <conditionalFormatting sqref="K24 K109 K194">
    <cfRule type="expression" dxfId="1187" priority="32" stopIfTrue="1">
      <formula>IF(AK8&gt;3,0,1)</formula>
    </cfRule>
  </conditionalFormatting>
  <conditionalFormatting sqref="N24 N109 N194">
    <cfRule type="expression" dxfId="1186" priority="31" stopIfTrue="1">
      <formula>IF(AK8&gt;4,0,1)</formula>
    </cfRule>
  </conditionalFormatting>
  <conditionalFormatting sqref="Q24 Q109 Q194">
    <cfRule type="expression" dxfId="1185" priority="30" stopIfTrue="1">
      <formula>IF(AK8&gt;5,0,1)</formula>
    </cfRule>
  </conditionalFormatting>
  <conditionalFormatting sqref="T24 T109 T194">
    <cfRule type="expression" dxfId="1184" priority="29" stopIfTrue="1">
      <formula>IF(AK8&gt;6,0,1)</formula>
    </cfRule>
  </conditionalFormatting>
  <conditionalFormatting sqref="W24 W109 W194">
    <cfRule type="expression" dxfId="1183" priority="28" stopIfTrue="1">
      <formula>IF(AK8&gt;7,0,1)</formula>
    </cfRule>
  </conditionalFormatting>
  <conditionalFormatting sqref="Z24 Z109 Z194">
    <cfRule type="expression" dxfId="1182" priority="27" stopIfTrue="1">
      <formula>IF(AK8&gt;8,0,1)</formula>
    </cfRule>
  </conditionalFormatting>
  <conditionalFormatting sqref="AC24 AC109 AC194">
    <cfRule type="expression" dxfId="1181" priority="26" stopIfTrue="1">
      <formula>IF(AK8&gt;9,0,1)</formula>
    </cfRule>
  </conditionalFormatting>
  <conditionalFormatting sqref="AQ112 AQ27 AQ197">
    <cfRule type="expression" dxfId="1180" priority="25" stopIfTrue="1">
      <formula>IF($AK9&gt;3,0,1)</formula>
    </cfRule>
  </conditionalFormatting>
  <conditionalFormatting sqref="E110:G110 E25:G25 E195:G195">
    <cfRule type="expression" dxfId="1179" priority="24" stopIfTrue="1">
      <formula>IF($AK8&gt;1,0,1)</formula>
    </cfRule>
  </conditionalFormatting>
  <conditionalFormatting sqref="B106:D106 B21:D21 B191:D191">
    <cfRule type="expression" dxfId="1178" priority="23" stopIfTrue="1">
      <formula>IF(AK8&gt;0,0,1)</formula>
    </cfRule>
  </conditionalFormatting>
  <conditionalFormatting sqref="E106:G106 E21:G21 E191:G191">
    <cfRule type="expression" dxfId="1177" priority="22" stopIfTrue="1">
      <formula>IF(AK8&gt;1,0,1)</formula>
    </cfRule>
  </conditionalFormatting>
  <conditionalFormatting sqref="H106:J106 H21:J21 H191:J191">
    <cfRule type="expression" dxfId="1176" priority="21" stopIfTrue="1">
      <formula>IF(AK8&gt;2,0,1)</formula>
    </cfRule>
  </conditionalFormatting>
  <conditionalFormatting sqref="K106:M106 K21:M21 K191:M191">
    <cfRule type="expression" dxfId="1175" priority="20" stopIfTrue="1">
      <formula>IF(AK8&gt;3,0,1)</formula>
    </cfRule>
  </conditionalFormatting>
  <conditionalFormatting sqref="N106:P106 N21:P21 N191:P191">
    <cfRule type="expression" dxfId="1174" priority="19" stopIfTrue="1">
      <formula>IF(AK8&gt;4,0,1)</formula>
    </cfRule>
  </conditionalFormatting>
  <conditionalFormatting sqref="Q106:S106 Q21:S21 Q191:S191">
    <cfRule type="expression" dxfId="1173" priority="18" stopIfTrue="1">
      <formula>IF(AK8&gt;5,0,1)</formula>
    </cfRule>
  </conditionalFormatting>
  <conditionalFormatting sqref="T106:V106 T21:V21 T191:V191">
    <cfRule type="expression" dxfId="1172" priority="17" stopIfTrue="1">
      <formula>IF(AK8&gt;6,0,1)</formula>
    </cfRule>
  </conditionalFormatting>
  <conditionalFormatting sqref="W106:Y106 W21:Y21 W191:Y191">
    <cfRule type="expression" dxfId="1171" priority="16" stopIfTrue="1">
      <formula>IF(AK8&gt;7,0,1)</formula>
    </cfRule>
  </conditionalFormatting>
  <conditionalFormatting sqref="Z106:AB106 Z21:AB21 Z191:AB191">
    <cfRule type="expression" dxfId="1170" priority="15" stopIfTrue="1">
      <formula>IF(AK8&gt;8,0,1)</formula>
    </cfRule>
  </conditionalFormatting>
  <conditionalFormatting sqref="AC106:AE106 AC21:AE21 AC191:AE191">
    <cfRule type="expression" dxfId="1169" priority="14" stopIfTrue="1">
      <formula>IF(AK8&gt;9,0,1)</formula>
    </cfRule>
  </conditionalFormatting>
  <conditionalFormatting sqref="AG24:AP28 AG109:AP113 AG194:AP198">
    <cfRule type="cellIs" dxfId="1168" priority="13" stopIfTrue="1" operator="notBetween">
      <formula>-9999</formula>
      <formula>9999</formula>
    </cfRule>
  </conditionalFormatting>
  <conditionalFormatting sqref="AC92 AC7 AC177">
    <cfRule type="expression" dxfId="1167" priority="12" stopIfTrue="1">
      <formula>IF($AK$11=0,1,0)</formula>
    </cfRule>
  </conditionalFormatting>
  <conditionalFormatting sqref="B22:D23 B107:D108 B192:D193">
    <cfRule type="cellIs" dxfId="1166" priority="11" stopIfTrue="1" operator="equal">
      <formula>99</formula>
    </cfRule>
  </conditionalFormatting>
  <conditionalFormatting sqref="B18 B103 B188">
    <cfRule type="expression" dxfId="1165" priority="10" stopIfTrue="1">
      <formula>IF($AK$9&gt;0,0,1)</formula>
    </cfRule>
  </conditionalFormatting>
  <conditionalFormatting sqref="B18">
    <cfRule type="expression" dxfId="1164" priority="9" stopIfTrue="1">
      <formula>IF($AK$9&gt;0,0,1)</formula>
    </cfRule>
  </conditionalFormatting>
  <conditionalFormatting sqref="B103">
    <cfRule type="expression" dxfId="1163" priority="8" stopIfTrue="1">
      <formula>IF($AK$9&gt;0,0,1)</formula>
    </cfRule>
  </conditionalFormatting>
  <conditionalFormatting sqref="B188">
    <cfRule type="expression" dxfId="1162" priority="7" stopIfTrue="1">
      <formula>IF($AK$9&gt;0,0,1)</formula>
    </cfRule>
  </conditionalFormatting>
  <conditionalFormatting sqref="B104:D104">
    <cfRule type="expression" dxfId="1161" priority="6" stopIfTrue="1">
      <formula>IF(AK93&gt;0,0,1)</formula>
    </cfRule>
  </conditionalFormatting>
  <conditionalFormatting sqref="E104:G104">
    <cfRule type="expression" dxfId="1160" priority="5" stopIfTrue="1">
      <formula>IF(AK93&gt;1,0,1)</formula>
    </cfRule>
  </conditionalFormatting>
  <conditionalFormatting sqref="H104:J104">
    <cfRule type="expression" dxfId="1159" priority="4" stopIfTrue="1">
      <formula>IF(AK93&gt;2,0,1)</formula>
    </cfRule>
  </conditionalFormatting>
  <conditionalFormatting sqref="B189:D189">
    <cfRule type="expression" dxfId="1158" priority="3" stopIfTrue="1">
      <formula>IF(AK178&gt;0,0,1)</formula>
    </cfRule>
  </conditionalFormatting>
  <conditionalFormatting sqref="E189:G189">
    <cfRule type="expression" dxfId="1157" priority="2" stopIfTrue="1">
      <formula>IF(AK178&gt;1,0,1)</formula>
    </cfRule>
  </conditionalFormatting>
  <conditionalFormatting sqref="H189:J189">
    <cfRule type="expression" dxfId="1156" priority="1" stopIfTrue="1">
      <formula>IF(AK178&gt;2,0,1)</formula>
    </cfRule>
  </conditionalFormatting>
  <pageMargins left="0.25" right="0.25" top="0.25" bottom="0.25" header="0" footer="0"/>
  <pageSetup scale="78" fitToHeight="6" orientation="landscape" r:id="rId1"/>
  <headerFooter alignWithMargins="0"/>
  <rowBreaks count="2" manualBreakCount="2">
    <brk id="90" max="43" man="1"/>
    <brk id="175" max="43" man="1"/>
  </rowBreaks>
  <drawing r:id="rId2"/>
  <legacyDrawing r:id="rId3"/>
  <controls>
    <mc:AlternateContent xmlns:mc="http://schemas.openxmlformats.org/markup-compatibility/2006">
      <mc:Choice Requires="x14">
        <control shapeId="19457" r:id="rId4" name="Pool1RecalcFinish">
          <controlPr defaultSize="0" autoLine="0" autoPict="0" r:id="rId5">
            <anchor moveWithCells="1" sizeWithCells="1">
              <from>
                <xdr:col>36</xdr:col>
                <xdr:colOff>104775</xdr:colOff>
                <xdr:row>13</xdr:row>
                <xdr:rowOff>0</xdr:rowOff>
              </from>
              <to>
                <xdr:col>41</xdr:col>
                <xdr:colOff>228600</xdr:colOff>
                <xdr:row>13</xdr:row>
                <xdr:rowOff>0</xdr:rowOff>
              </to>
            </anchor>
          </controlPr>
        </control>
      </mc:Choice>
      <mc:Fallback>
        <control shapeId="19457" r:id="rId4" name="Pool1RecalcFinish"/>
      </mc:Fallback>
    </mc:AlternateContent>
    <mc:AlternateContent xmlns:mc="http://schemas.openxmlformats.org/markup-compatibility/2006">
      <mc:Choice Requires="x14">
        <control shapeId="19458" r:id="rId6" name="Pool2RecalcFinish">
          <controlPr defaultSize="0" autoLine="0" autoPict="0" r:id="rId7">
            <anchor moveWithCells="1" sizeWithCells="1">
              <from>
                <xdr:col>36</xdr:col>
                <xdr:colOff>104775</xdr:colOff>
                <xdr:row>98</xdr:row>
                <xdr:rowOff>0</xdr:rowOff>
              </from>
              <to>
                <xdr:col>41</xdr:col>
                <xdr:colOff>228600</xdr:colOff>
                <xdr:row>98</xdr:row>
                <xdr:rowOff>0</xdr:rowOff>
              </to>
            </anchor>
          </controlPr>
        </control>
      </mc:Choice>
      <mc:Fallback>
        <control shapeId="19458" r:id="rId6" name="Pool2RecalcFinish"/>
      </mc:Fallback>
    </mc:AlternateContent>
    <mc:AlternateContent xmlns:mc="http://schemas.openxmlformats.org/markup-compatibility/2006">
      <mc:Choice Requires="x14">
        <control shapeId="19459" r:id="rId8" name="Pool3RecalcFinish">
          <controlPr defaultSize="0" autoLine="0" autoPict="0" r:id="rId9">
            <anchor moveWithCells="1" sizeWithCells="1">
              <from>
                <xdr:col>36</xdr:col>
                <xdr:colOff>104775</xdr:colOff>
                <xdr:row>183</xdr:row>
                <xdr:rowOff>0</xdr:rowOff>
              </from>
              <to>
                <xdr:col>41</xdr:col>
                <xdr:colOff>228600</xdr:colOff>
                <xdr:row>183</xdr:row>
                <xdr:rowOff>0</xdr:rowOff>
              </to>
            </anchor>
          </controlPr>
        </control>
      </mc:Choice>
      <mc:Fallback>
        <control shapeId="19459" r:id="rId8" name="Pool3RecalcFinish"/>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tabColor rgb="FF7030A0"/>
  </sheetPr>
  <dimension ref="A1:BB519"/>
  <sheetViews>
    <sheetView topLeftCell="AH1" zoomScaleNormal="100" workbookViewId="0">
      <selection activeCell="AY3" sqref="AY3:AY13"/>
    </sheetView>
  </sheetViews>
  <sheetFormatPr defaultColWidth="8.7109375" defaultRowHeight="12.75"/>
  <cols>
    <col min="1" max="1" width="8.7109375" style="3"/>
    <col min="2" max="2" width="3.7109375" style="3" customWidth="1"/>
    <col min="3" max="3" width="2.28515625" style="3" customWidth="1"/>
    <col min="4" max="5" width="3.7109375" style="3" customWidth="1"/>
    <col min="6" max="6" width="2.28515625" style="3" customWidth="1"/>
    <col min="7" max="8" width="3.7109375" style="3" customWidth="1"/>
    <col min="9" max="9" width="2.28515625" style="3" customWidth="1"/>
    <col min="10" max="11" width="3.7109375" style="3" customWidth="1"/>
    <col min="12" max="12" width="2.28515625" style="3" customWidth="1"/>
    <col min="13" max="14" width="3.7109375" style="3" customWidth="1"/>
    <col min="15" max="15" width="2.28515625" style="3" customWidth="1"/>
    <col min="16" max="17" width="3.7109375" style="3" customWidth="1"/>
    <col min="18" max="18" width="2.28515625" style="3" customWidth="1"/>
    <col min="19" max="20" width="3.7109375" style="3" customWidth="1"/>
    <col min="21" max="21" width="2.28515625" style="3" customWidth="1"/>
    <col min="22" max="23" width="3.7109375" style="3" customWidth="1"/>
    <col min="24" max="24" width="2.28515625" style="3" customWidth="1"/>
    <col min="25" max="26" width="3.7109375" style="3" customWidth="1"/>
    <col min="27" max="27" width="2.28515625" style="3" customWidth="1"/>
    <col min="28" max="29" width="3.7109375" style="3" customWidth="1"/>
    <col min="30" max="30" width="2.28515625" style="3" customWidth="1"/>
    <col min="31" max="31" width="3.7109375" style="3" customWidth="1"/>
    <col min="32" max="32" width="9.7109375" style="3" customWidth="1"/>
    <col min="33" max="42" width="3.7109375" style="3" customWidth="1"/>
    <col min="43" max="43" width="11" style="3" customWidth="1"/>
    <col min="44" max="45" width="8.7109375" style="3"/>
    <col min="46" max="46" width="8.7109375" style="508"/>
    <col min="47" max="47" width="21" style="508" customWidth="1"/>
    <col min="48" max="48" width="24.42578125" style="508" customWidth="1"/>
    <col min="49" max="49" width="15.140625" style="512" customWidth="1"/>
    <col min="50" max="50" width="10.5703125" style="508" customWidth="1"/>
    <col min="51" max="51" width="11.140625" style="508" customWidth="1"/>
    <col min="52" max="52" width="25" style="3" customWidth="1"/>
    <col min="53" max="53" width="6" style="3" customWidth="1"/>
    <col min="54" max="16384" width="8.7109375" style="3"/>
  </cols>
  <sheetData>
    <row r="1" spans="1:53" ht="13.5" thickBot="1">
      <c r="A1" s="264" t="s">
        <v>0</v>
      </c>
      <c r="B1" s="264"/>
      <c r="C1" s="264"/>
      <c r="D1" s="264"/>
      <c r="E1" s="264"/>
      <c r="F1" s="264"/>
      <c r="G1" s="264"/>
      <c r="H1" s="264"/>
      <c r="I1" s="264"/>
      <c r="J1" s="264"/>
      <c r="K1" s="264"/>
      <c r="L1" s="264"/>
      <c r="M1" s="264"/>
      <c r="N1" s="264"/>
      <c r="O1" s="264"/>
      <c r="P1" s="264"/>
      <c r="Q1" s="264"/>
      <c r="R1" s="264"/>
      <c r="S1" s="264"/>
      <c r="T1" s="264"/>
      <c r="U1" s="264"/>
      <c r="V1" s="264"/>
      <c r="W1" s="264"/>
      <c r="X1" s="264"/>
      <c r="Y1" s="264"/>
      <c r="Z1" s="264"/>
      <c r="AA1" s="264"/>
      <c r="AB1" s="264"/>
      <c r="AC1" s="264"/>
      <c r="AD1" s="264"/>
      <c r="AE1" s="264"/>
      <c r="AF1" s="92"/>
      <c r="AG1" s="92"/>
      <c r="AH1" s="92"/>
      <c r="AI1" s="92"/>
      <c r="AJ1" s="92"/>
      <c r="AK1" s="92"/>
      <c r="AL1" s="92"/>
      <c r="AM1" s="92"/>
      <c r="AN1" s="92"/>
      <c r="AO1" s="92"/>
      <c r="AP1" s="92"/>
      <c r="AQ1" s="130" t="s">
        <v>179</v>
      </c>
      <c r="AR1" s="46"/>
      <c r="AT1" s="476" t="s">
        <v>1</v>
      </c>
      <c r="AU1" s="477"/>
      <c r="AV1" s="477"/>
      <c r="AW1" s="478"/>
      <c r="AX1" s="479" t="s">
        <v>180</v>
      </c>
      <c r="AY1" s="480"/>
      <c r="AZ1" s="131" t="s">
        <v>181</v>
      </c>
      <c r="BA1" s="132">
        <v>24</v>
      </c>
    </row>
    <row r="2" spans="1:53" ht="18.75" customHeight="1" thickBot="1">
      <c r="A2" s="93"/>
      <c r="B2" s="133" t="s">
        <v>2</v>
      </c>
      <c r="C2" s="134"/>
      <c r="D2" s="134"/>
      <c r="E2" s="135"/>
      <c r="F2" s="135"/>
      <c r="G2" s="136"/>
      <c r="H2" s="135"/>
      <c r="I2" s="137"/>
      <c r="J2" s="249" t="s">
        <v>182</v>
      </c>
      <c r="K2" s="250"/>
      <c r="L2" s="250"/>
      <c r="M2" s="250"/>
      <c r="N2" s="250"/>
      <c r="O2" s="250"/>
      <c r="P2" s="250"/>
      <c r="Q2" s="250"/>
      <c r="R2" s="250"/>
      <c r="S2" s="250"/>
      <c r="T2" s="251"/>
      <c r="U2" s="252" t="s">
        <v>3</v>
      </c>
      <c r="V2" s="253"/>
      <c r="W2" s="254"/>
      <c r="X2" s="255">
        <v>42378</v>
      </c>
      <c r="Y2" s="256"/>
      <c r="Z2" s="256"/>
      <c r="AA2" s="256"/>
      <c r="AB2" s="256"/>
      <c r="AC2" s="256"/>
      <c r="AD2" s="256"/>
      <c r="AE2" s="257"/>
      <c r="AF2" s="1"/>
      <c r="AG2" s="1"/>
      <c r="AH2" s="1"/>
      <c r="AI2" s="1"/>
      <c r="AJ2" s="1"/>
      <c r="AK2" s="1"/>
      <c r="AL2" s="1"/>
      <c r="AM2" s="1"/>
      <c r="AN2" s="1"/>
      <c r="AO2" s="1"/>
      <c r="AP2" s="1"/>
      <c r="AQ2" s="1"/>
      <c r="AR2" s="46"/>
      <c r="AT2" s="481" t="s">
        <v>4</v>
      </c>
      <c r="AU2" s="482" t="s">
        <v>5</v>
      </c>
      <c r="AV2" s="483" t="s">
        <v>6</v>
      </c>
      <c r="AW2" s="484" t="s">
        <v>183</v>
      </c>
      <c r="AX2" s="485" t="s">
        <v>184</v>
      </c>
      <c r="AY2" s="484" t="s">
        <v>7</v>
      </c>
      <c r="AZ2" s="131" t="s">
        <v>185</v>
      </c>
      <c r="BA2" s="132">
        <v>16</v>
      </c>
    </row>
    <row r="3" spans="1:53" ht="18.75" customHeight="1" thickBot="1">
      <c r="A3" s="93"/>
      <c r="B3" s="265" t="s">
        <v>8</v>
      </c>
      <c r="C3" s="266"/>
      <c r="D3" s="267" t="s">
        <v>253</v>
      </c>
      <c r="E3" s="268"/>
      <c r="F3" s="268"/>
      <c r="G3" s="268"/>
      <c r="H3" s="268"/>
      <c r="I3" s="268"/>
      <c r="J3" s="268"/>
      <c r="K3" s="269"/>
      <c r="L3" s="270" t="s">
        <v>9</v>
      </c>
      <c r="M3" s="271"/>
      <c r="N3" s="272"/>
      <c r="O3" s="273"/>
      <c r="P3" s="249" t="s">
        <v>186</v>
      </c>
      <c r="Q3" s="250"/>
      <c r="R3" s="250"/>
      <c r="S3" s="250"/>
      <c r="T3" s="251"/>
      <c r="U3" s="260" t="s">
        <v>10</v>
      </c>
      <c r="V3" s="261"/>
      <c r="W3" s="261"/>
      <c r="X3" s="261"/>
      <c r="Y3" s="261"/>
      <c r="Z3" s="262"/>
      <c r="AA3" s="95"/>
      <c r="AB3" s="263" t="s">
        <v>11</v>
      </c>
      <c r="AC3" s="263"/>
      <c r="AD3" s="258" t="s">
        <v>12</v>
      </c>
      <c r="AE3" s="259"/>
      <c r="AF3" s="1"/>
      <c r="AG3" s="1"/>
      <c r="AH3" s="1"/>
      <c r="AI3" s="1"/>
      <c r="AJ3" s="1"/>
      <c r="AK3" s="1"/>
      <c r="AL3" s="1"/>
      <c r="AM3" s="1"/>
      <c r="AN3" s="1"/>
      <c r="AO3" s="1"/>
      <c r="AP3" s="1"/>
      <c r="AQ3" s="1"/>
      <c r="AR3" s="46"/>
      <c r="AT3" s="486">
        <v>1</v>
      </c>
      <c r="AU3" s="521" t="str">
        <f>'AM 9 Team Pool - Rnd 1'!AU3</f>
        <v>Columbia SC Starlings 12</v>
      </c>
      <c r="AV3" s="521" t="str">
        <f>'AM 9 Team Pool - Rnd 1'!AV3</f>
        <v>fj2starl1pm</v>
      </c>
      <c r="AW3" s="522">
        <f>'AM 9 Team Pool - Rnd 1'!AX3</f>
        <v>1185.7779264437215</v>
      </c>
      <c r="AX3" s="489">
        <f t="shared" ref="AX3:AX14" si="0">VLOOKUP(AU3,AT$79:AU$259,2,FALSE)</f>
        <v>1179.7721457596278</v>
      </c>
      <c r="AY3" s="490">
        <f>AX3</f>
        <v>1179.7721457596278</v>
      </c>
    </row>
    <row r="4" spans="1:53" ht="24" customHeight="1" thickBot="1">
      <c r="A4" s="93"/>
      <c r="B4" s="144"/>
      <c r="C4" s="144"/>
      <c r="D4" s="145"/>
      <c r="E4" s="146"/>
      <c r="F4" s="147"/>
      <c r="G4" s="147"/>
      <c r="H4" s="282" t="s">
        <v>13</v>
      </c>
      <c r="I4" s="283"/>
      <c r="J4" s="284"/>
      <c r="K4" s="284"/>
      <c r="L4" s="284"/>
      <c r="M4" s="285"/>
      <c r="N4" s="286"/>
      <c r="O4" s="286"/>
      <c r="P4" s="286"/>
      <c r="Q4" s="286"/>
      <c r="R4" s="286"/>
      <c r="S4" s="286"/>
      <c r="T4" s="287"/>
      <c r="U4" s="288" t="s">
        <v>14</v>
      </c>
      <c r="V4" s="289"/>
      <c r="W4" s="289"/>
      <c r="X4" s="289"/>
      <c r="Y4" s="290"/>
      <c r="Z4" s="291"/>
      <c r="AA4" s="286"/>
      <c r="AB4" s="286"/>
      <c r="AC4" s="286"/>
      <c r="AD4" s="286"/>
      <c r="AE4" s="287"/>
      <c r="AF4" s="1"/>
      <c r="AG4" s="1"/>
      <c r="AH4" s="1"/>
      <c r="AI4" s="1"/>
      <c r="AJ4" s="1"/>
      <c r="AK4" s="1"/>
      <c r="AL4" s="1"/>
      <c r="AM4" s="1"/>
      <c r="AN4" s="1"/>
      <c r="AO4" s="1"/>
      <c r="AP4" s="1"/>
      <c r="AQ4" s="1"/>
      <c r="AR4" s="46"/>
      <c r="AT4" s="491">
        <v>2</v>
      </c>
      <c r="AU4" s="521" t="str">
        <f>'AM 9 Team Pool - Rnd 1'!AU4</f>
        <v>Magnum 12 Black</v>
      </c>
      <c r="AV4" s="521" t="str">
        <f>'AM 9 Team Pool - Rnd 1'!AV4</f>
        <v>fj2magnm1pm</v>
      </c>
      <c r="AW4" s="522">
        <f>'AM 9 Team Pool - Rnd 1'!AX4</f>
        <v>1530.4660296046136</v>
      </c>
      <c r="AX4" s="493">
        <f t="shared" si="0"/>
        <v>1541.8981701239713</v>
      </c>
      <c r="AY4" s="490">
        <f t="shared" ref="AY4:AY13" si="1">AX4</f>
        <v>1541.8981701239713</v>
      </c>
    </row>
    <row r="5" spans="1:53" ht="15.75" thickBot="1">
      <c r="A5" s="92" t="s">
        <v>15</v>
      </c>
      <c r="B5" s="292" t="s">
        <v>15</v>
      </c>
      <c r="C5" s="293"/>
      <c r="D5" s="293"/>
      <c r="E5" s="293"/>
      <c r="F5" s="293"/>
      <c r="G5" s="293"/>
      <c r="H5" s="293"/>
      <c r="I5" s="293"/>
      <c r="J5" s="293"/>
      <c r="K5" s="294" t="s">
        <v>15</v>
      </c>
      <c r="L5" s="294"/>
      <c r="M5" s="294"/>
      <c r="N5" s="294"/>
      <c r="O5" s="294"/>
      <c r="P5" s="294"/>
      <c r="Q5" s="294"/>
      <c r="R5" s="294"/>
      <c r="S5" s="294"/>
      <c r="T5" s="294"/>
      <c r="U5" s="294"/>
      <c r="V5" s="294"/>
      <c r="W5" s="294"/>
      <c r="X5" s="294"/>
      <c r="Y5" s="294"/>
      <c r="Z5" s="294"/>
      <c r="AA5" s="294"/>
      <c r="AB5" s="294"/>
      <c r="AC5" s="294"/>
      <c r="AD5" s="294"/>
      <c r="AE5" s="294"/>
      <c r="AF5" s="92"/>
      <c r="AG5" s="92"/>
      <c r="AH5" s="92"/>
      <c r="AI5" s="92"/>
      <c r="AJ5" s="92"/>
      <c r="AK5" s="92"/>
      <c r="AL5" s="92"/>
      <c r="AM5" s="92"/>
      <c r="AN5" s="92"/>
      <c r="AO5" s="92"/>
      <c r="AP5" s="92"/>
      <c r="AQ5" s="92"/>
      <c r="AR5" s="46"/>
      <c r="AT5" s="491">
        <v>3</v>
      </c>
      <c r="AU5" s="521" t="str">
        <f>'AM 9 Team Pool - Rnd 1'!AU5</f>
        <v>Magnum Aiken 12 Green</v>
      </c>
      <c r="AV5" s="521" t="str">
        <f>'AM 9 Team Pool - Rnd 1'!AV5</f>
        <v>fj2magnm2pm</v>
      </c>
      <c r="AW5" s="522">
        <f>'AM 9 Team Pool - Rnd 1'!AX5</f>
        <v>1429.6517072742154</v>
      </c>
      <c r="AX5" s="493">
        <f t="shared" si="0"/>
        <v>1445.1361227091788</v>
      </c>
      <c r="AY5" s="490">
        <f t="shared" si="1"/>
        <v>1445.1361227091788</v>
      </c>
    </row>
    <row r="6" spans="1:53" ht="24" customHeight="1" thickBot="1">
      <c r="A6" s="96" t="s">
        <v>16</v>
      </c>
      <c r="B6" s="150" t="s">
        <v>241</v>
      </c>
      <c r="C6" s="274" t="s">
        <v>188</v>
      </c>
      <c r="D6" s="275"/>
      <c r="E6" s="275"/>
      <c r="F6" s="275"/>
      <c r="G6" s="275"/>
      <c r="H6" s="276"/>
      <c r="I6" s="277">
        <v>1</v>
      </c>
      <c r="J6" s="278"/>
      <c r="K6" s="279" t="str">
        <f>"Pool "&amp;B6&amp;" - Round 2 - Court "&amp;I6</f>
        <v>Pool A2 - Round 2 - Court 1</v>
      </c>
      <c r="L6" s="280"/>
      <c r="M6" s="280"/>
      <c r="N6" s="280"/>
      <c r="O6" s="280"/>
      <c r="P6" s="280"/>
      <c r="Q6" s="280"/>
      <c r="R6" s="280"/>
      <c r="S6" s="280"/>
      <c r="T6" s="280"/>
      <c r="U6" s="280"/>
      <c r="V6" s="280"/>
      <c r="W6" s="280"/>
      <c r="X6" s="280"/>
      <c r="Y6" s="280"/>
      <c r="Z6" s="280"/>
      <c r="AA6" s="280"/>
      <c r="AB6" s="280"/>
      <c r="AC6" s="280"/>
      <c r="AD6" s="280"/>
      <c r="AE6" s="280"/>
      <c r="AF6" s="280"/>
      <c r="AG6" s="280"/>
      <c r="AH6" s="280"/>
      <c r="AI6" s="281"/>
      <c r="AJ6" s="1"/>
      <c r="AK6" s="1"/>
      <c r="AL6" s="1"/>
      <c r="AM6" s="1"/>
      <c r="AN6" s="1"/>
      <c r="AO6" s="1"/>
      <c r="AP6" s="1"/>
      <c r="AQ6" s="1"/>
      <c r="AT6" s="491">
        <v>4</v>
      </c>
      <c r="AU6" s="521" t="str">
        <f>'AM 9 Team Pool - Rnd 1'!AU6</f>
        <v>Excell U12 Devel</v>
      </c>
      <c r="AV6" s="521" t="str">
        <f>'AM 9 Team Pool - Rnd 1'!AV6</f>
        <v>fj2191642pm</v>
      </c>
      <c r="AW6" s="522">
        <f>'AM 9 Team Pool - Rnd 1'!AX6</f>
        <v>1186.0390794838293</v>
      </c>
      <c r="AX6" s="493">
        <f t="shared" si="0"/>
        <v>1180.6127196485652</v>
      </c>
      <c r="AY6" s="490">
        <f t="shared" si="1"/>
        <v>1180.6127196485652</v>
      </c>
    </row>
    <row r="7" spans="1:53" ht="27" customHeight="1" thickBot="1">
      <c r="A7" s="97" t="s">
        <v>17</v>
      </c>
      <c r="B7" s="282" t="s">
        <v>5</v>
      </c>
      <c r="C7" s="295"/>
      <c r="D7" s="295"/>
      <c r="E7" s="295"/>
      <c r="F7" s="295"/>
      <c r="G7" s="295"/>
      <c r="H7" s="295"/>
      <c r="I7" s="295"/>
      <c r="J7" s="295"/>
      <c r="K7" s="295"/>
      <c r="L7" s="282" t="str">
        <f>IF($AK10=0,"Games Won","Matches Won")</f>
        <v>Games Won</v>
      </c>
      <c r="M7" s="295"/>
      <c r="N7" s="295"/>
      <c r="O7" s="295"/>
      <c r="P7" s="295"/>
      <c r="Q7" s="296"/>
      <c r="R7" s="282" t="str">
        <f>IF($AK10=0,"Games Lost","Matches Lost")</f>
        <v>Games Lost</v>
      </c>
      <c r="S7" s="299"/>
      <c r="T7" s="299"/>
      <c r="U7" s="299"/>
      <c r="V7" s="300"/>
      <c r="W7" s="301" t="s">
        <v>18</v>
      </c>
      <c r="X7" s="302"/>
      <c r="Y7" s="303"/>
      <c r="Z7" s="301" t="s">
        <v>189</v>
      </c>
      <c r="AA7" s="302"/>
      <c r="AB7" s="303"/>
      <c r="AC7" s="312" t="s">
        <v>19</v>
      </c>
      <c r="AD7" s="313"/>
      <c r="AE7" s="314"/>
      <c r="AF7" s="98" t="s">
        <v>20</v>
      </c>
      <c r="AG7" s="151" t="s">
        <v>4</v>
      </c>
      <c r="AH7" s="315" t="s">
        <v>21</v>
      </c>
      <c r="AI7" s="316"/>
      <c r="AJ7" s="99"/>
      <c r="AK7" s="100">
        <v>2</v>
      </c>
      <c r="AL7" s="101" t="s">
        <v>22</v>
      </c>
      <c r="AM7" s="101"/>
      <c r="AN7" s="101"/>
      <c r="AO7" s="101"/>
      <c r="AP7" s="101"/>
      <c r="AQ7" s="101"/>
      <c r="AR7" s="102"/>
      <c r="AT7" s="491">
        <v>5</v>
      </c>
      <c r="AU7" s="521" t="str">
        <f>'AM 9 Team Pool - Rnd 1'!AU7</f>
        <v>SC Midlands KP White</v>
      </c>
      <c r="AV7" s="521" t="str">
        <f>'AM 9 Team Pool - Rnd 1'!AV7</f>
        <v>fj2scmid2pm</v>
      </c>
      <c r="AW7" s="522">
        <f>'AM 9 Team Pool - Rnd 1'!AX7</f>
        <v>1207.6014825585389</v>
      </c>
      <c r="AX7" s="493">
        <f t="shared" si="0"/>
        <v>1162.1331471608514</v>
      </c>
      <c r="AY7" s="490">
        <f t="shared" si="1"/>
        <v>1162.1331471608514</v>
      </c>
    </row>
    <row r="8" spans="1:53" ht="18.75" customHeight="1" thickBot="1">
      <c r="A8" s="317" t="str">
        <f>IF($AK9&gt;0,"1","")</f>
        <v>1</v>
      </c>
      <c r="B8" s="319" t="s">
        <v>5</v>
      </c>
      <c r="C8" s="320"/>
      <c r="D8" s="321"/>
      <c r="E8" s="322" t="str">
        <f>'AM 9 Team Pool - Rnd 1'!B264</f>
        <v>SC Midlands KP Boys</v>
      </c>
      <c r="F8" s="323"/>
      <c r="G8" s="323"/>
      <c r="H8" s="323"/>
      <c r="I8" s="323"/>
      <c r="J8" s="323"/>
      <c r="K8" s="324"/>
      <c r="L8" s="304">
        <f>IF($AK10=0,AF64,AF46)</f>
        <v>3</v>
      </c>
      <c r="M8" s="305"/>
      <c r="N8" s="305"/>
      <c r="O8" s="305"/>
      <c r="P8" s="305"/>
      <c r="Q8" s="297"/>
      <c r="R8" s="304">
        <f>IF($AK10=0,AG64,AG46)</f>
        <v>1</v>
      </c>
      <c r="S8" s="305"/>
      <c r="T8" s="305"/>
      <c r="U8" s="305"/>
      <c r="V8" s="305"/>
      <c r="W8" s="304">
        <f>AQ24</f>
        <v>18</v>
      </c>
      <c r="X8" s="305"/>
      <c r="Y8" s="305"/>
      <c r="Z8" s="308">
        <f>IF(AF58&gt;0,(AQ24/AF58),0)</f>
        <v>0.21428571428571427</v>
      </c>
      <c r="AA8" s="309"/>
      <c r="AB8" s="309"/>
      <c r="AC8" s="325">
        <f>IF(AF72=0,0,(AF64/AF72))</f>
        <v>0.75</v>
      </c>
      <c r="AD8" s="326"/>
      <c r="AE8" s="327"/>
      <c r="AF8" s="331">
        <v>2</v>
      </c>
      <c r="AG8" s="331">
        <v>3</v>
      </c>
      <c r="AH8" s="333"/>
      <c r="AI8" s="334"/>
      <c r="AJ8" s="99"/>
      <c r="AK8" s="100">
        <v>3</v>
      </c>
      <c r="AL8" s="101" t="s">
        <v>23</v>
      </c>
      <c r="AM8" s="101"/>
      <c r="AN8" s="101"/>
      <c r="AO8" s="101"/>
      <c r="AP8" s="101"/>
      <c r="AQ8" s="101"/>
      <c r="AR8" s="102"/>
      <c r="AT8" s="491">
        <v>6</v>
      </c>
      <c r="AU8" s="521" t="str">
        <f>'AM 9 Team Pool - Rnd 1'!AU8</f>
        <v>SC Midlands KP Boys</v>
      </c>
      <c r="AV8" s="521" t="str">
        <f>'AM 9 Team Pool - Rnd 1'!AV8</f>
        <v>fj2scmid3pm</v>
      </c>
      <c r="AW8" s="522">
        <f>'AM 9 Team Pool - Rnd 1'!AX8</f>
        <v>1246.3704475419222</v>
      </c>
      <c r="AX8" s="493">
        <f t="shared" si="0"/>
        <v>1263.649221203714</v>
      </c>
      <c r="AY8" s="490">
        <f t="shared" si="1"/>
        <v>1263.649221203714</v>
      </c>
    </row>
    <row r="9" spans="1:53" ht="18.75" customHeight="1" thickBot="1">
      <c r="A9" s="318"/>
      <c r="B9" s="337" t="s">
        <v>6</v>
      </c>
      <c r="C9" s="338"/>
      <c r="D9" s="339"/>
      <c r="E9" s="340" t="str">
        <f>'AM 9 Team Pool - Rnd 1'!F264</f>
        <v>fj2scmid3pm</v>
      </c>
      <c r="F9" s="341"/>
      <c r="G9" s="341"/>
      <c r="H9" s="341"/>
      <c r="I9" s="341"/>
      <c r="J9" s="341"/>
      <c r="K9" s="341"/>
      <c r="L9" s="306"/>
      <c r="M9" s="307"/>
      <c r="N9" s="307"/>
      <c r="O9" s="307"/>
      <c r="P9" s="307"/>
      <c r="Q9" s="297"/>
      <c r="R9" s="306"/>
      <c r="S9" s="307"/>
      <c r="T9" s="307"/>
      <c r="U9" s="307"/>
      <c r="V9" s="307"/>
      <c r="W9" s="306"/>
      <c r="X9" s="307"/>
      <c r="Y9" s="307"/>
      <c r="Z9" s="310"/>
      <c r="AA9" s="311"/>
      <c r="AB9" s="311"/>
      <c r="AC9" s="328"/>
      <c r="AD9" s="329"/>
      <c r="AE9" s="330"/>
      <c r="AF9" s="332"/>
      <c r="AG9" s="332"/>
      <c r="AH9" s="335"/>
      <c r="AI9" s="336"/>
      <c r="AJ9" s="99"/>
      <c r="AK9" s="100">
        <v>3</v>
      </c>
      <c r="AL9" s="101" t="s">
        <v>190</v>
      </c>
      <c r="AM9" s="99"/>
      <c r="AN9" s="99"/>
      <c r="AO9" s="99"/>
      <c r="AP9" s="99"/>
      <c r="AQ9" s="99"/>
      <c r="AR9" s="46"/>
      <c r="AT9" s="491">
        <v>7</v>
      </c>
      <c r="AU9" s="521" t="str">
        <f>'AM 9 Team Pool - Rnd 1'!AU9</f>
        <v>USA 12 Blue</v>
      </c>
      <c r="AV9" s="521" t="str">
        <f>'AM 9 Team Pool - Rnd 1'!AV9</f>
        <v>fj2unsel1cr</v>
      </c>
      <c r="AW9" s="522">
        <f>'AM 9 Team Pool - Rnd 1'!AX9</f>
        <v>1367.8516260143563</v>
      </c>
      <c r="AX9" s="493">
        <f t="shared" si="0"/>
        <v>1371.375662705266</v>
      </c>
      <c r="AY9" s="490">
        <f t="shared" si="1"/>
        <v>1371.375662705266</v>
      </c>
    </row>
    <row r="10" spans="1:53" ht="18.75" customHeight="1" thickBot="1">
      <c r="A10" s="317" t="str">
        <f>IF($AK9&gt;1,"2","")</f>
        <v>2</v>
      </c>
      <c r="B10" s="319" t="s">
        <v>5</v>
      </c>
      <c r="C10" s="320"/>
      <c r="D10" s="321"/>
      <c r="E10" s="322" t="str">
        <f>'AM 9 Team Pool - Rnd 1'!M265</f>
        <v>SC Midlands KP White</v>
      </c>
      <c r="F10" s="323"/>
      <c r="G10" s="323"/>
      <c r="H10" s="323"/>
      <c r="I10" s="323"/>
      <c r="J10" s="323"/>
      <c r="K10" s="324"/>
      <c r="L10" s="304">
        <f>IF($AK10=0,AF65,AF47)</f>
        <v>0</v>
      </c>
      <c r="M10" s="305"/>
      <c r="N10" s="305"/>
      <c r="O10" s="305"/>
      <c r="P10" s="305"/>
      <c r="Q10" s="297"/>
      <c r="R10" s="304">
        <f>IF($AK10=0,AG65,AG47)</f>
        <v>4</v>
      </c>
      <c r="S10" s="305"/>
      <c r="T10" s="305"/>
      <c r="U10" s="305"/>
      <c r="V10" s="305"/>
      <c r="W10" s="304">
        <f>AQ25</f>
        <v>-45</v>
      </c>
      <c r="X10" s="305"/>
      <c r="Y10" s="305"/>
      <c r="Z10" s="308">
        <f>IF(AF59&gt;0,(AQ25/AF59),0)</f>
        <v>-0.45454545454545453</v>
      </c>
      <c r="AA10" s="309"/>
      <c r="AB10" s="309"/>
      <c r="AC10" s="325">
        <f>IF(AF73=0,0,(AF65/AF73))</f>
        <v>0</v>
      </c>
      <c r="AD10" s="326"/>
      <c r="AE10" s="327"/>
      <c r="AF10" s="331">
        <v>3</v>
      </c>
      <c r="AG10" s="331">
        <v>1</v>
      </c>
      <c r="AH10" s="333"/>
      <c r="AI10" s="334"/>
      <c r="AJ10" s="99"/>
      <c r="AK10" s="100">
        <v>0</v>
      </c>
      <c r="AL10" s="101" t="s">
        <v>24</v>
      </c>
      <c r="AM10" s="101"/>
      <c r="AN10" s="101"/>
      <c r="AO10" s="101"/>
      <c r="AP10" s="101"/>
      <c r="AQ10" s="101"/>
      <c r="AR10" s="102"/>
      <c r="AT10" s="491">
        <v>8</v>
      </c>
      <c r="AU10" s="521" t="str">
        <f>'AM 9 Team Pool - Rnd 1'!AU10</f>
        <v>Magnum 12 Red</v>
      </c>
      <c r="AV10" s="521" t="str">
        <f>'AM 9 Team Pool - Rnd 1'!AV10</f>
        <v>fj2magnm3pm</v>
      </c>
      <c r="AW10" s="522">
        <f>'AM 9 Team Pool - Rnd 1'!AX10</f>
        <v>1361.9324878368475</v>
      </c>
      <c r="AX10" s="493">
        <f t="shared" si="0"/>
        <v>1342.9240357109743</v>
      </c>
      <c r="AY10" s="490">
        <f t="shared" si="1"/>
        <v>1342.9240357109743</v>
      </c>
    </row>
    <row r="11" spans="1:53" ht="18.75" customHeight="1" thickBot="1">
      <c r="A11" s="318"/>
      <c r="B11" s="342" t="s">
        <v>6</v>
      </c>
      <c r="C11" s="343"/>
      <c r="D11" s="343"/>
      <c r="E11" s="340" t="str">
        <f>'AM 9 Team Pool - Rnd 1'!R265</f>
        <v>fj2scmid2pm</v>
      </c>
      <c r="F11" s="341"/>
      <c r="G11" s="341"/>
      <c r="H11" s="341"/>
      <c r="I11" s="341"/>
      <c r="J11" s="341"/>
      <c r="K11" s="341"/>
      <c r="L11" s="306"/>
      <c r="M11" s="307"/>
      <c r="N11" s="307"/>
      <c r="O11" s="307"/>
      <c r="P11" s="307"/>
      <c r="Q11" s="297"/>
      <c r="R11" s="306"/>
      <c r="S11" s="307"/>
      <c r="T11" s="307"/>
      <c r="U11" s="307"/>
      <c r="V11" s="307"/>
      <c r="W11" s="306"/>
      <c r="X11" s="307"/>
      <c r="Y11" s="307"/>
      <c r="Z11" s="310"/>
      <c r="AA11" s="311"/>
      <c r="AB11" s="311"/>
      <c r="AC11" s="328"/>
      <c r="AD11" s="329"/>
      <c r="AE11" s="330"/>
      <c r="AF11" s="332"/>
      <c r="AG11" s="332"/>
      <c r="AH11" s="335"/>
      <c r="AI11" s="336"/>
      <c r="AJ11" s="99"/>
      <c r="AK11" s="100">
        <v>1</v>
      </c>
      <c r="AL11" s="101" t="s">
        <v>25</v>
      </c>
      <c r="AM11" s="99"/>
      <c r="AN11" s="99"/>
      <c r="AO11" s="99"/>
      <c r="AP11" s="99"/>
      <c r="AQ11" s="99"/>
      <c r="AR11" s="46"/>
      <c r="AT11" s="491">
        <v>9</v>
      </c>
      <c r="AU11" s="521" t="str">
        <f>'AM 9 Team Pool - Rnd 1'!AU11</f>
        <v>Intense Kids power Gvl</v>
      </c>
      <c r="AV11" s="521" t="str">
        <f>'AM 9 Team Pool - Rnd 1'!AV11</f>
        <v>fj2inten2pm</v>
      </c>
      <c r="AW11" s="522">
        <f>'AM 9 Team Pool - Rnd 1'!AX11</f>
        <v>1184.3092132419554</v>
      </c>
      <c r="AX11" s="493">
        <f t="shared" si="0"/>
        <v>1212.4987749778513</v>
      </c>
      <c r="AY11" s="490">
        <f t="shared" si="1"/>
        <v>1212.4987749778513</v>
      </c>
    </row>
    <row r="12" spans="1:53" ht="18.75" customHeight="1" thickBot="1">
      <c r="A12" s="317" t="str">
        <f>IF($AK9&gt;2,"3","")</f>
        <v>3</v>
      </c>
      <c r="B12" s="344" t="s">
        <v>5</v>
      </c>
      <c r="C12" s="345"/>
      <c r="D12" s="345"/>
      <c r="E12" s="322" t="str">
        <f>'AM 9 Team Pool - Rnd 1'!X266</f>
        <v>Intense Kids power Gvl</v>
      </c>
      <c r="F12" s="323"/>
      <c r="G12" s="323"/>
      <c r="H12" s="323"/>
      <c r="I12" s="323"/>
      <c r="J12" s="323"/>
      <c r="K12" s="324"/>
      <c r="L12" s="304">
        <f>IF($AK10=0,AF66,AF48)</f>
        <v>3</v>
      </c>
      <c r="M12" s="305"/>
      <c r="N12" s="305"/>
      <c r="O12" s="305"/>
      <c r="P12" s="305"/>
      <c r="Q12" s="297"/>
      <c r="R12" s="304">
        <f>IF($AK10=0,AG66,AG48)</f>
        <v>1</v>
      </c>
      <c r="S12" s="305"/>
      <c r="T12" s="305"/>
      <c r="U12" s="305"/>
      <c r="V12" s="305"/>
      <c r="W12" s="304">
        <f>AQ26</f>
        <v>27</v>
      </c>
      <c r="X12" s="305"/>
      <c r="Y12" s="305"/>
      <c r="Z12" s="308">
        <f>IF(AF60&gt;0,(AQ26/AF60),0)</f>
        <v>0.29032258064516131</v>
      </c>
      <c r="AA12" s="309"/>
      <c r="AB12" s="309"/>
      <c r="AC12" s="325">
        <f>IF(AF74=0,0,(AF66/AF74))</f>
        <v>0.75</v>
      </c>
      <c r="AD12" s="326"/>
      <c r="AE12" s="327"/>
      <c r="AF12" s="331">
        <v>1</v>
      </c>
      <c r="AG12" s="331">
        <v>3</v>
      </c>
      <c r="AH12" s="333"/>
      <c r="AI12" s="334"/>
      <c r="AJ12" s="103"/>
      <c r="AK12" s="100">
        <v>4</v>
      </c>
      <c r="AL12" s="152" t="s">
        <v>191</v>
      </c>
      <c r="AM12" s="101"/>
      <c r="AN12" s="101"/>
      <c r="AO12" s="101"/>
      <c r="AP12" s="101"/>
      <c r="AQ12" s="101"/>
      <c r="AR12" s="102"/>
      <c r="AT12" s="491">
        <v>10</v>
      </c>
      <c r="AU12" s="521" t="str">
        <f>'AM 9 Team Pool - Rnd 1'!AU12</f>
        <v>Team 10</v>
      </c>
      <c r="AV12" s="521" t="str">
        <f>'AM 9 Team Pool - Rnd 1'!AV12</f>
        <v>Code 10</v>
      </c>
      <c r="AW12" s="522">
        <f>'AM 9 Team Pool - Rnd 1'!AX12</f>
        <v>2010</v>
      </c>
      <c r="AX12" s="493">
        <f t="shared" si="0"/>
        <v>2010</v>
      </c>
      <c r="AY12" s="490">
        <f t="shared" si="1"/>
        <v>2010</v>
      </c>
    </row>
    <row r="13" spans="1:53" ht="18.75" customHeight="1" thickBot="1">
      <c r="A13" s="318"/>
      <c r="B13" s="342" t="s">
        <v>6</v>
      </c>
      <c r="C13" s="343"/>
      <c r="D13" s="343"/>
      <c r="E13" s="340" t="str">
        <f>'AM 9 Team Pool - Rnd 1'!AC266</f>
        <v>fj2inten2pm</v>
      </c>
      <c r="F13" s="341"/>
      <c r="G13" s="341"/>
      <c r="H13" s="341"/>
      <c r="I13" s="341"/>
      <c r="J13" s="341"/>
      <c r="K13" s="341"/>
      <c r="L13" s="306"/>
      <c r="M13" s="307"/>
      <c r="N13" s="307"/>
      <c r="O13" s="307"/>
      <c r="P13" s="307"/>
      <c r="Q13" s="297"/>
      <c r="R13" s="306"/>
      <c r="S13" s="307"/>
      <c r="T13" s="307"/>
      <c r="U13" s="307"/>
      <c r="V13" s="307"/>
      <c r="W13" s="306"/>
      <c r="X13" s="307"/>
      <c r="Y13" s="307"/>
      <c r="Z13" s="310"/>
      <c r="AA13" s="311"/>
      <c r="AB13" s="311"/>
      <c r="AC13" s="328"/>
      <c r="AD13" s="329"/>
      <c r="AE13" s="330"/>
      <c r="AF13" s="332"/>
      <c r="AG13" s="332"/>
      <c r="AH13" s="335"/>
      <c r="AI13" s="336"/>
      <c r="AJ13" s="103"/>
      <c r="AK13" s="153"/>
      <c r="AL13" s="154"/>
      <c r="AM13" s="154"/>
      <c r="AN13" s="154"/>
      <c r="AO13" s="154"/>
      <c r="AP13" s="154"/>
      <c r="AQ13" s="99"/>
      <c r="AR13" s="46"/>
      <c r="AT13" s="491">
        <v>11</v>
      </c>
      <c r="AU13" s="521" t="str">
        <f>'AM 9 Team Pool - Rnd 1'!AU13</f>
        <v>Team 11</v>
      </c>
      <c r="AV13" s="521" t="str">
        <f>'AM 9 Team Pool - Rnd 1'!AV13</f>
        <v>Code 11</v>
      </c>
      <c r="AW13" s="522">
        <f>'AM 9 Team Pool - Rnd 1'!AX13</f>
        <v>2011</v>
      </c>
      <c r="AX13" s="493">
        <f t="shared" si="0"/>
        <v>2011</v>
      </c>
      <c r="AY13" s="490">
        <f t="shared" si="1"/>
        <v>2011</v>
      </c>
    </row>
    <row r="14" spans="1:53" ht="18.75" hidden="1" customHeight="1">
      <c r="A14" s="317" t="str">
        <f>IF($AK9&gt;3,"4","")</f>
        <v/>
      </c>
      <c r="B14" s="344" t="s">
        <v>5</v>
      </c>
      <c r="C14" s="345"/>
      <c r="D14" s="345"/>
      <c r="E14" s="322" t="str">
        <f>AU14</f>
        <v>Team 12</v>
      </c>
      <c r="F14" s="323"/>
      <c r="G14" s="323"/>
      <c r="H14" s="323"/>
      <c r="I14" s="323"/>
      <c r="J14" s="323"/>
      <c r="K14" s="324"/>
      <c r="L14" s="304">
        <f>IF($AK10=0,AF67,AF49)</f>
        <v>0</v>
      </c>
      <c r="M14" s="305"/>
      <c r="N14" s="305"/>
      <c r="O14" s="305"/>
      <c r="P14" s="305"/>
      <c r="Q14" s="297"/>
      <c r="R14" s="304">
        <f>IF($AK10=0,AG67,AG49)</f>
        <v>0</v>
      </c>
      <c r="S14" s="305"/>
      <c r="T14" s="305"/>
      <c r="U14" s="305"/>
      <c r="V14" s="305"/>
      <c r="W14" s="304">
        <f>AQ27</f>
        <v>0</v>
      </c>
      <c r="X14" s="305"/>
      <c r="Y14" s="305"/>
      <c r="Z14" s="308">
        <f>IF(AF61&gt;0,(AQ27/AF61),0)</f>
        <v>0</v>
      </c>
      <c r="AA14" s="309"/>
      <c r="AB14" s="309"/>
      <c r="AC14" s="325">
        <f>IF(AF75=0,0,(AF67/AF75))</f>
        <v>0</v>
      </c>
      <c r="AD14" s="326"/>
      <c r="AE14" s="327"/>
      <c r="AF14" s="331"/>
      <c r="AG14" s="331"/>
      <c r="AH14" s="333"/>
      <c r="AI14" s="334"/>
      <c r="AJ14" s="1"/>
      <c r="AK14" s="154"/>
      <c r="AL14" s="154"/>
      <c r="AM14" s="154"/>
      <c r="AN14" s="154"/>
      <c r="AO14" s="154"/>
      <c r="AP14" s="154"/>
      <c r="AQ14" s="101"/>
      <c r="AR14" s="102"/>
      <c r="AT14" s="491">
        <v>12</v>
      </c>
      <c r="AU14" s="495" t="s">
        <v>196</v>
      </c>
      <c r="AV14" s="496" t="s">
        <v>197</v>
      </c>
      <c r="AW14" s="492">
        <v>2012</v>
      </c>
      <c r="AX14" s="493">
        <f t="shared" si="0"/>
        <v>2012</v>
      </c>
      <c r="AY14" s="494" t="e">
        <f>IF(ISNA(VLOOKUP(AU14,#REF!,2,FALSE)),AX14,VLOOKUP(AU14,#REF!,2,FALSE))</f>
        <v>#REF!</v>
      </c>
    </row>
    <row r="15" spans="1:53" ht="18.75" hidden="1" customHeight="1" thickBot="1">
      <c r="A15" s="318"/>
      <c r="B15" s="342" t="s">
        <v>6</v>
      </c>
      <c r="C15" s="343"/>
      <c r="D15" s="343"/>
      <c r="E15" s="340" t="str">
        <f>AV14</f>
        <v>Code 12</v>
      </c>
      <c r="F15" s="341"/>
      <c r="G15" s="341"/>
      <c r="H15" s="341"/>
      <c r="I15" s="341"/>
      <c r="J15" s="341"/>
      <c r="K15" s="341"/>
      <c r="L15" s="306"/>
      <c r="M15" s="307"/>
      <c r="N15" s="307"/>
      <c r="O15" s="307"/>
      <c r="P15" s="307"/>
      <c r="Q15" s="297"/>
      <c r="R15" s="306"/>
      <c r="S15" s="307"/>
      <c r="T15" s="307"/>
      <c r="U15" s="307"/>
      <c r="V15" s="307"/>
      <c r="W15" s="306"/>
      <c r="X15" s="307"/>
      <c r="Y15" s="307"/>
      <c r="Z15" s="310"/>
      <c r="AA15" s="311"/>
      <c r="AB15" s="311"/>
      <c r="AC15" s="328"/>
      <c r="AD15" s="329"/>
      <c r="AE15" s="330"/>
      <c r="AF15" s="332"/>
      <c r="AG15" s="332"/>
      <c r="AH15" s="335"/>
      <c r="AI15" s="336"/>
      <c r="AJ15" s="1"/>
      <c r="AK15" s="154"/>
      <c r="AL15" s="154"/>
      <c r="AM15" s="154"/>
      <c r="AN15" s="154"/>
      <c r="AO15" s="154"/>
      <c r="AP15" s="154"/>
      <c r="AQ15" s="1"/>
      <c r="AR15" s="46"/>
      <c r="AT15" s="491"/>
      <c r="AU15" s="495"/>
      <c r="AV15" s="496"/>
      <c r="AW15" s="492"/>
      <c r="AX15" s="493"/>
      <c r="AY15" s="494"/>
    </row>
    <row r="16" spans="1:53" ht="18.75" hidden="1" customHeight="1">
      <c r="A16" s="317" t="str">
        <f>IF($AK9&gt;4,"5","")</f>
        <v/>
      </c>
      <c r="B16" s="344" t="s">
        <v>5</v>
      </c>
      <c r="C16" s="345"/>
      <c r="D16" s="345"/>
      <c r="E16" s="346">
        <f>AU15</f>
        <v>0</v>
      </c>
      <c r="F16" s="347"/>
      <c r="G16" s="347"/>
      <c r="H16" s="347"/>
      <c r="I16" s="347"/>
      <c r="J16" s="347"/>
      <c r="K16" s="348"/>
      <c r="L16" s="304">
        <f>IF($AK10=0,AF68,AF50)</f>
        <v>0</v>
      </c>
      <c r="M16" s="305"/>
      <c r="N16" s="305"/>
      <c r="O16" s="305"/>
      <c r="P16" s="305"/>
      <c r="Q16" s="297"/>
      <c r="R16" s="304">
        <f>IF($AK10=0,AG68,AG50)</f>
        <v>0</v>
      </c>
      <c r="S16" s="305"/>
      <c r="T16" s="305"/>
      <c r="U16" s="305"/>
      <c r="V16" s="305"/>
      <c r="W16" s="304">
        <f>AQ28</f>
        <v>0</v>
      </c>
      <c r="X16" s="305"/>
      <c r="Y16" s="305"/>
      <c r="Z16" s="308">
        <f>IF(AF62&gt;0,(AQ28/AF62),0)</f>
        <v>0</v>
      </c>
      <c r="AA16" s="309"/>
      <c r="AB16" s="309"/>
      <c r="AC16" s="325">
        <f>IF(AF76=0,0,(AF68/AF76))</f>
        <v>0</v>
      </c>
      <c r="AD16" s="326"/>
      <c r="AE16" s="327"/>
      <c r="AF16" s="331"/>
      <c r="AG16" s="331"/>
      <c r="AH16" s="333"/>
      <c r="AI16" s="334"/>
      <c r="AJ16" s="1"/>
      <c r="AK16" s="154"/>
      <c r="AL16" s="154"/>
      <c r="AM16" s="154"/>
      <c r="AN16" s="154"/>
      <c r="AO16" s="154"/>
      <c r="AP16" s="154"/>
      <c r="AQ16" s="1"/>
      <c r="AR16" s="46"/>
      <c r="AT16" s="491"/>
      <c r="AU16" s="495"/>
      <c r="AV16" s="492"/>
      <c r="AW16" s="492"/>
      <c r="AX16" s="493"/>
      <c r="AY16" s="494"/>
    </row>
    <row r="17" spans="1:51" ht="18.75" hidden="1" customHeight="1" thickBot="1">
      <c r="A17" s="318"/>
      <c r="B17" s="359" t="s">
        <v>6</v>
      </c>
      <c r="C17" s="360"/>
      <c r="D17" s="360"/>
      <c r="E17" s="361">
        <f>AV15</f>
        <v>0</v>
      </c>
      <c r="F17" s="362"/>
      <c r="G17" s="362"/>
      <c r="H17" s="362"/>
      <c r="I17" s="362"/>
      <c r="J17" s="362"/>
      <c r="K17" s="362"/>
      <c r="L17" s="349"/>
      <c r="M17" s="350"/>
      <c r="N17" s="350"/>
      <c r="O17" s="350"/>
      <c r="P17" s="350"/>
      <c r="Q17" s="298"/>
      <c r="R17" s="349"/>
      <c r="S17" s="350"/>
      <c r="T17" s="350"/>
      <c r="U17" s="350"/>
      <c r="V17" s="350"/>
      <c r="W17" s="349"/>
      <c r="X17" s="350"/>
      <c r="Y17" s="350"/>
      <c r="Z17" s="351"/>
      <c r="AA17" s="352"/>
      <c r="AB17" s="352"/>
      <c r="AC17" s="353"/>
      <c r="AD17" s="354"/>
      <c r="AE17" s="355"/>
      <c r="AF17" s="356"/>
      <c r="AG17" s="356"/>
      <c r="AH17" s="357"/>
      <c r="AI17" s="358"/>
      <c r="AJ17" s="1"/>
      <c r="AK17" s="154"/>
      <c r="AL17" s="154"/>
      <c r="AM17" s="154"/>
      <c r="AN17" s="154"/>
      <c r="AO17" s="154"/>
      <c r="AP17" s="154"/>
      <c r="AQ17" s="1"/>
      <c r="AR17" s="46"/>
      <c r="AT17" s="497"/>
      <c r="AU17" s="498"/>
      <c r="AV17" s="499"/>
      <c r="AW17" s="499"/>
      <c r="AX17" s="500"/>
      <c r="AY17" s="501"/>
    </row>
    <row r="18" spans="1:51" ht="21" customHeight="1" thickTop="1" thickBot="1">
      <c r="A18" s="106"/>
      <c r="B18" s="363" t="s">
        <v>198</v>
      </c>
      <c r="C18" s="364"/>
      <c r="D18" s="364"/>
      <c r="E18" s="364"/>
      <c r="F18" s="364"/>
      <c r="G18" s="364"/>
      <c r="H18" s="364"/>
      <c r="I18" s="364"/>
      <c r="J18" s="364"/>
      <c r="K18" s="364"/>
      <c r="L18" s="364"/>
      <c r="M18" s="364"/>
      <c r="N18" s="364"/>
      <c r="O18" s="364"/>
      <c r="P18" s="364"/>
      <c r="Q18" s="364"/>
      <c r="R18" s="364"/>
      <c r="S18" s="364"/>
      <c r="T18" s="364"/>
      <c r="U18" s="364"/>
      <c r="V18" s="364"/>
      <c r="W18" s="364"/>
      <c r="X18" s="364"/>
      <c r="Y18" s="364"/>
      <c r="Z18" s="364"/>
      <c r="AA18" s="364"/>
      <c r="AB18" s="364"/>
      <c r="AC18" s="364"/>
      <c r="AD18" s="364"/>
      <c r="AE18" s="364"/>
      <c r="AF18" s="364"/>
      <c r="AG18" s="364"/>
      <c r="AH18" s="364"/>
      <c r="AI18" s="365"/>
      <c r="AJ18" s="1"/>
      <c r="AK18" s="154"/>
      <c r="AL18" s="154"/>
      <c r="AM18" s="154"/>
      <c r="AN18" s="154"/>
      <c r="AO18" s="154"/>
      <c r="AP18" s="154"/>
      <c r="AQ18" s="1"/>
      <c r="AR18" s="46"/>
      <c r="AT18" s="502" t="s">
        <v>26</v>
      </c>
      <c r="AU18" s="503"/>
      <c r="AV18" s="503"/>
      <c r="AW18" s="503"/>
      <c r="AX18" s="503"/>
      <c r="AY18" s="504"/>
    </row>
    <row r="19" spans="1:51" ht="14.25" thickTop="1" thickBot="1">
      <c r="A19" s="3" t="s">
        <v>27</v>
      </c>
      <c r="B19" s="372">
        <v>0.42708333333333331</v>
      </c>
      <c r="C19" s="373"/>
      <c r="D19" s="374"/>
      <c r="E19" s="372">
        <v>0.44791666666666669</v>
      </c>
      <c r="F19" s="373"/>
      <c r="G19" s="374"/>
      <c r="H19" s="372">
        <v>0.46875</v>
      </c>
      <c r="I19" s="373"/>
      <c r="J19" s="374"/>
      <c r="K19" s="372">
        <v>0.47916666666666669</v>
      </c>
      <c r="L19" s="373"/>
      <c r="M19" s="374"/>
      <c r="N19" s="372">
        <v>0.52083333333333337</v>
      </c>
      <c r="O19" s="373"/>
      <c r="P19" s="374"/>
      <c r="Q19" s="372">
        <v>6.25E-2</v>
      </c>
      <c r="R19" s="373"/>
      <c r="S19" s="374"/>
      <c r="T19" s="372"/>
      <c r="U19" s="373"/>
      <c r="V19" s="374"/>
      <c r="W19" s="372"/>
      <c r="X19" s="373"/>
      <c r="Y19" s="374"/>
      <c r="Z19" s="372"/>
      <c r="AA19" s="373"/>
      <c r="AB19" s="374"/>
      <c r="AC19" s="372"/>
      <c r="AD19" s="373"/>
      <c r="AE19" s="374"/>
      <c r="AF19" s="375" t="s">
        <v>199</v>
      </c>
      <c r="AG19" s="376"/>
      <c r="AH19" s="376"/>
      <c r="AI19" s="376"/>
      <c r="AJ19" s="377"/>
      <c r="AK19" s="377"/>
      <c r="AL19" s="377"/>
      <c r="AM19" s="377"/>
      <c r="AN19" s="377"/>
      <c r="AO19" s="377"/>
      <c r="AP19" s="377"/>
      <c r="AQ19" s="378"/>
      <c r="AT19" s="505"/>
      <c r="AU19" s="506"/>
      <c r="AV19" s="506"/>
      <c r="AW19" s="506"/>
      <c r="AX19" s="506"/>
      <c r="AY19" s="507"/>
    </row>
    <row r="20" spans="1:51">
      <c r="A20" s="107" t="s">
        <v>28</v>
      </c>
      <c r="B20" s="383"/>
      <c r="C20" s="384"/>
      <c r="D20" s="385"/>
      <c r="E20" s="383"/>
      <c r="F20" s="384"/>
      <c r="G20" s="385"/>
      <c r="H20" s="383"/>
      <c r="I20" s="384"/>
      <c r="J20" s="385"/>
      <c r="K20" s="383"/>
      <c r="L20" s="384"/>
      <c r="M20" s="385"/>
      <c r="N20" s="383"/>
      <c r="O20" s="384"/>
      <c r="P20" s="385"/>
      <c r="Q20" s="383"/>
      <c r="R20" s="384"/>
      <c r="S20" s="385"/>
      <c r="T20" s="383"/>
      <c r="U20" s="384"/>
      <c r="V20" s="385"/>
      <c r="W20" s="383"/>
      <c r="X20" s="384"/>
      <c r="Y20" s="385"/>
      <c r="Z20" s="383"/>
      <c r="AA20" s="384"/>
      <c r="AB20" s="385"/>
      <c r="AC20" s="383"/>
      <c r="AD20" s="384"/>
      <c r="AE20" s="385"/>
      <c r="AF20" s="375"/>
      <c r="AG20" s="376"/>
      <c r="AH20" s="376"/>
      <c r="AI20" s="376"/>
      <c r="AJ20" s="376"/>
      <c r="AK20" s="376"/>
      <c r="AL20" s="376"/>
      <c r="AM20" s="376"/>
      <c r="AN20" s="376"/>
      <c r="AO20" s="376"/>
      <c r="AP20" s="376"/>
      <c r="AQ20" s="379"/>
      <c r="AW20" s="508"/>
    </row>
    <row r="21" spans="1:51">
      <c r="A21" s="107" t="s">
        <v>29</v>
      </c>
      <c r="B21" s="383"/>
      <c r="C21" s="384"/>
      <c r="D21" s="385"/>
      <c r="E21" s="383"/>
      <c r="F21" s="384"/>
      <c r="G21" s="385"/>
      <c r="H21" s="383"/>
      <c r="I21" s="384"/>
      <c r="J21" s="385"/>
      <c r="K21" s="383"/>
      <c r="L21" s="384"/>
      <c r="M21" s="385"/>
      <c r="N21" s="383"/>
      <c r="O21" s="384"/>
      <c r="P21" s="385"/>
      <c r="Q21" s="383"/>
      <c r="R21" s="384"/>
      <c r="S21" s="385"/>
      <c r="T21" s="383"/>
      <c r="U21" s="384"/>
      <c r="V21" s="385"/>
      <c r="W21" s="383"/>
      <c r="X21" s="384"/>
      <c r="Y21" s="385"/>
      <c r="Z21" s="383"/>
      <c r="AA21" s="384"/>
      <c r="AB21" s="385"/>
      <c r="AC21" s="383"/>
      <c r="AD21" s="384"/>
      <c r="AE21" s="385"/>
      <c r="AF21" s="375"/>
      <c r="AG21" s="376"/>
      <c r="AH21" s="376"/>
      <c r="AI21" s="376"/>
      <c r="AJ21" s="376"/>
      <c r="AK21" s="376"/>
      <c r="AL21" s="376"/>
      <c r="AM21" s="376"/>
      <c r="AN21" s="376"/>
      <c r="AO21" s="376"/>
      <c r="AP21" s="376"/>
      <c r="AQ21" s="379"/>
      <c r="AS21" s="132"/>
      <c r="AT21" s="509"/>
      <c r="AU21" s="509"/>
      <c r="AV21" s="509"/>
      <c r="AW21" s="508"/>
    </row>
    <row r="22" spans="1:51" ht="13.5" thickBot="1">
      <c r="A22" s="1"/>
      <c r="B22" s="386" t="s">
        <v>30</v>
      </c>
      <c r="C22" s="387"/>
      <c r="D22" s="388"/>
      <c r="E22" s="386" t="str">
        <f>IF(AK8&gt;1,"Match 2","")</f>
        <v>Match 2</v>
      </c>
      <c r="F22" s="387"/>
      <c r="G22" s="388"/>
      <c r="H22" s="386" t="str">
        <f>IF(AK8&gt;2,"Match 3","")</f>
        <v>Match 3</v>
      </c>
      <c r="I22" s="387"/>
      <c r="J22" s="388"/>
      <c r="K22" s="386" t="str">
        <f>IF(AK8&gt;3,"Match 4","")</f>
        <v/>
      </c>
      <c r="L22" s="387"/>
      <c r="M22" s="388"/>
      <c r="N22" s="386" t="str">
        <f>IF(AK8&gt;4,"Match 5","")</f>
        <v/>
      </c>
      <c r="O22" s="387"/>
      <c r="P22" s="388"/>
      <c r="Q22" s="386" t="str">
        <f>IF(AK8&gt;5,"Match 6","")</f>
        <v/>
      </c>
      <c r="R22" s="387"/>
      <c r="S22" s="388"/>
      <c r="T22" s="386" t="str">
        <f>IF(AK8&gt;6,"Match 7","")</f>
        <v/>
      </c>
      <c r="U22" s="387"/>
      <c r="V22" s="388"/>
      <c r="W22" s="386" t="str">
        <f>IF(AK8&gt;7,"Match 8","")</f>
        <v/>
      </c>
      <c r="X22" s="387"/>
      <c r="Y22" s="388"/>
      <c r="Z22" s="386" t="str">
        <f>IF(AK8&gt;8,"Match 9","")</f>
        <v/>
      </c>
      <c r="AA22" s="387"/>
      <c r="AB22" s="388"/>
      <c r="AC22" s="386" t="str">
        <f>IF(AK8&gt;9,"Match 10","")</f>
        <v/>
      </c>
      <c r="AD22" s="387"/>
      <c r="AE22" s="388"/>
      <c r="AF22" s="380"/>
      <c r="AG22" s="381"/>
      <c r="AH22" s="381"/>
      <c r="AI22" s="381"/>
      <c r="AJ22" s="381"/>
      <c r="AK22" s="381"/>
      <c r="AL22" s="381"/>
      <c r="AM22" s="381"/>
      <c r="AN22" s="381"/>
      <c r="AO22" s="381"/>
      <c r="AP22" s="381"/>
      <c r="AQ22" s="382"/>
      <c r="AS22" s="104"/>
      <c r="AT22" s="510"/>
      <c r="AU22" s="511"/>
      <c r="AV22" s="511"/>
      <c r="AW22" s="508"/>
    </row>
    <row r="23" spans="1:51" ht="15.75">
      <c r="A23" s="1"/>
      <c r="B23" s="389" t="s">
        <v>33</v>
      </c>
      <c r="C23" s="390"/>
      <c r="D23" s="391"/>
      <c r="E23" s="389" t="s">
        <v>31</v>
      </c>
      <c r="F23" s="390"/>
      <c r="G23" s="391"/>
      <c r="H23" s="389" t="s">
        <v>32</v>
      </c>
      <c r="I23" s="390"/>
      <c r="J23" s="391"/>
      <c r="K23" s="389"/>
      <c r="L23" s="390"/>
      <c r="M23" s="391"/>
      <c r="N23" s="389"/>
      <c r="O23" s="390"/>
      <c r="P23" s="391"/>
      <c r="Q23" s="389"/>
      <c r="R23" s="390"/>
      <c r="S23" s="391"/>
      <c r="T23" s="389"/>
      <c r="U23" s="390"/>
      <c r="V23" s="391"/>
      <c r="W23" s="389"/>
      <c r="X23" s="390"/>
      <c r="Y23" s="391"/>
      <c r="Z23" s="389"/>
      <c r="AA23" s="390"/>
      <c r="AB23" s="391"/>
      <c r="AC23" s="389"/>
      <c r="AD23" s="390"/>
      <c r="AE23" s="391"/>
      <c r="AF23" s="160" t="s">
        <v>34</v>
      </c>
      <c r="AG23" s="108">
        <v>1</v>
      </c>
      <c r="AH23" s="108">
        <v>2</v>
      </c>
      <c r="AI23" s="108">
        <v>3</v>
      </c>
      <c r="AJ23" s="108">
        <v>4</v>
      </c>
      <c r="AK23" s="108">
        <v>5</v>
      </c>
      <c r="AL23" s="108">
        <v>6</v>
      </c>
      <c r="AM23" s="108">
        <v>7</v>
      </c>
      <c r="AN23" s="108">
        <v>8</v>
      </c>
      <c r="AO23" s="108">
        <v>9</v>
      </c>
      <c r="AP23" s="108">
        <v>10</v>
      </c>
      <c r="AQ23" s="161" t="s">
        <v>200</v>
      </c>
      <c r="AS23" s="104"/>
      <c r="AT23" s="510"/>
      <c r="AU23" s="511"/>
      <c r="AV23" s="511"/>
      <c r="AW23" s="511"/>
      <c r="AX23" s="511"/>
      <c r="AY23" s="511"/>
    </row>
    <row r="24" spans="1:51" ht="15.75">
      <c r="A24" s="1"/>
      <c r="B24" s="109">
        <v>1</v>
      </c>
      <c r="C24" s="110" t="s">
        <v>35</v>
      </c>
      <c r="D24" s="111">
        <v>2</v>
      </c>
      <c r="E24" s="109">
        <v>2</v>
      </c>
      <c r="F24" s="110" t="str">
        <f>IF(AK8&gt;1,"v","")</f>
        <v>v</v>
      </c>
      <c r="G24" s="111">
        <v>3</v>
      </c>
      <c r="H24" s="109">
        <v>1</v>
      </c>
      <c r="I24" s="110" t="str">
        <f>IF(AK8&gt;2,"v","")</f>
        <v>v</v>
      </c>
      <c r="J24" s="111">
        <v>3</v>
      </c>
      <c r="K24" s="109"/>
      <c r="L24" s="110" t="str">
        <f>IF(AK8&gt;3,"v","")</f>
        <v/>
      </c>
      <c r="M24" s="111"/>
      <c r="N24" s="109"/>
      <c r="O24" s="110" t="str">
        <f>IF(AK8&gt;4,"v","")</f>
        <v/>
      </c>
      <c r="P24" s="111"/>
      <c r="Q24" s="109"/>
      <c r="R24" s="110" t="str">
        <f>IF(AK8&gt;5,"v","")</f>
        <v/>
      </c>
      <c r="S24" s="111"/>
      <c r="T24" s="109"/>
      <c r="U24" s="110" t="str">
        <f>IF(AK8&gt;6,"v","")</f>
        <v/>
      </c>
      <c r="V24" s="111"/>
      <c r="W24" s="109"/>
      <c r="X24" s="110" t="str">
        <f>IF(AK8&gt;7,"v","")</f>
        <v/>
      </c>
      <c r="Y24" s="111"/>
      <c r="Z24" s="109"/>
      <c r="AA24" s="110" t="str">
        <f>IF(AK8&gt;8,"v","")</f>
        <v/>
      </c>
      <c r="AB24" s="111"/>
      <c r="AC24" s="109"/>
      <c r="AD24" s="110" t="str">
        <f>IF(AK8&gt;9,"v","")</f>
        <v/>
      </c>
      <c r="AE24" s="111"/>
      <c r="AF24" s="160" t="str">
        <f>IF(AK9&gt;0,"Team 1","")</f>
        <v>Team 1</v>
      </c>
      <c r="AG24" s="162">
        <f>IF(AK9&lt;1,"",IF(AK8&lt;1,"",IF(B24=1,B30-D30,IF(D24=1,D30-B30,""))))</f>
        <v>20</v>
      </c>
      <c r="AH24" s="162" t="str">
        <f>IF(AK9&lt;1,"",IF(AK8&lt;2,"",IF(E24=1,E30-G30,IF(G24=1,G30-E30,""))))</f>
        <v/>
      </c>
      <c r="AI24" s="162">
        <f>IF(AK9&lt;1,"",IF(AK8&lt;3,"",IF(H24=1,H30-J30,IF(J24=1,J30-H30,""))))</f>
        <v>-2</v>
      </c>
      <c r="AJ24" s="162" t="str">
        <f>IF(AK9&lt;1,"",IF(AK8&lt;4,"",IF(K24=1,K30-M30,IF(M24=1,M30-K30,""))))</f>
        <v/>
      </c>
      <c r="AK24" s="162" t="str">
        <f>IF(AK9&lt;1,"",IF(AK8&lt;5,"",IF(N24=1,N30-P30,IF(P24=1,P30-N30,""))))</f>
        <v/>
      </c>
      <c r="AL24" s="162" t="str">
        <f>IF(AK9&lt;1,"",IF(AK8&lt;6,"",IF(Q24=1,Q30-S30,IF(S24=1,S30-Q30,""))))</f>
        <v/>
      </c>
      <c r="AM24" s="162" t="str">
        <f>IF(AK9&lt;1,"",IF(AK8&lt;7,"",IF(T24=1,T30-V30,IF(V24=1,V30-T30,""))))</f>
        <v/>
      </c>
      <c r="AN24" s="162" t="str">
        <f>IF(AK9&lt;1,"",IF(AK8&lt;8,"",IF(W24=1,W30-Y30,IF(Y24=1,Y30-W30,""))))</f>
        <v/>
      </c>
      <c r="AO24" s="162" t="str">
        <f>IF(AK9&lt;1,"",IF(AK8&lt;9,"",IF(Z24=1,Z30-AB30,IF(AB24=1,AB30-Z30,""))))</f>
        <v/>
      </c>
      <c r="AP24" s="162" t="str">
        <f>IF(AK9&lt;1,"",IF(AK8&lt;10,"",IF(AC24=1,AC30-AE30,IF(AE24=1,AE30-AC30,""))))</f>
        <v/>
      </c>
      <c r="AQ24" s="161">
        <f>SUM(AG24:AP24)</f>
        <v>18</v>
      </c>
      <c r="AS24" s="104"/>
      <c r="AT24" s="510"/>
      <c r="AU24" s="511"/>
      <c r="AV24" s="511"/>
      <c r="AW24" s="511"/>
      <c r="AX24" s="511"/>
      <c r="AY24" s="511"/>
    </row>
    <row r="25" spans="1:51" ht="15">
      <c r="A25" s="3" t="s">
        <v>36</v>
      </c>
      <c r="B25" s="112">
        <v>24</v>
      </c>
      <c r="C25" s="113" t="s">
        <v>37</v>
      </c>
      <c r="D25" s="114">
        <v>10</v>
      </c>
      <c r="E25" s="112">
        <v>14</v>
      </c>
      <c r="F25" s="113" t="str">
        <f>IF(AK8&gt;1,"/","")</f>
        <v>/</v>
      </c>
      <c r="G25" s="114">
        <v>31</v>
      </c>
      <c r="H25" s="112">
        <v>15</v>
      </c>
      <c r="I25" s="113" t="str">
        <f>IF(AK8&gt;2,"/","")</f>
        <v>/</v>
      </c>
      <c r="J25" s="114">
        <v>20</v>
      </c>
      <c r="K25" s="112"/>
      <c r="L25" s="113" t="str">
        <f>IF(AK8&gt;3,"/","")</f>
        <v/>
      </c>
      <c r="M25" s="114"/>
      <c r="N25" s="112"/>
      <c r="O25" s="113" t="str">
        <f>IF(AK8&gt;4,"/","")</f>
        <v/>
      </c>
      <c r="P25" s="114"/>
      <c r="Q25" s="112"/>
      <c r="R25" s="113" t="str">
        <f>IF(AK8&gt;5,"/","")</f>
        <v/>
      </c>
      <c r="S25" s="114"/>
      <c r="T25" s="112"/>
      <c r="U25" s="113" t="str">
        <f>IF(AK8&gt;6,"/","")</f>
        <v/>
      </c>
      <c r="V25" s="114"/>
      <c r="W25" s="112"/>
      <c r="X25" s="113" t="str">
        <f>IF(AK8&gt;7,"/","")</f>
        <v/>
      </c>
      <c r="Y25" s="114"/>
      <c r="Z25" s="112"/>
      <c r="AA25" s="113" t="str">
        <f>IF(AK8&gt;8,"/","")</f>
        <v/>
      </c>
      <c r="AB25" s="114"/>
      <c r="AC25" s="112"/>
      <c r="AD25" s="113" t="str">
        <f>IF(AK8&gt;9,"/","")</f>
        <v/>
      </c>
      <c r="AE25" s="114"/>
      <c r="AF25" s="160" t="str">
        <f>IF(AK9&gt;1,"Team 2","")</f>
        <v>Team 2</v>
      </c>
      <c r="AG25" s="162">
        <f>IF(AK9&lt;2,"",IF(AK8&lt;1,"",IF(B24=2,B30-D30,IF(D24=2,D30-B30,""))))</f>
        <v>-20</v>
      </c>
      <c r="AH25" s="162">
        <f>IF(AK9&lt;2,"",IF(AK8&lt;2,"",IF(E24=2,E30-G30,IF(G24=2,G30-E30,""))))</f>
        <v>-25</v>
      </c>
      <c r="AI25" s="162" t="str">
        <f>IF(AK9&lt;2,"",IF(AK8&lt;3,"",IF(H24=2,H30-J30,IF(J24=2,J30-H30,""))))</f>
        <v/>
      </c>
      <c r="AJ25" s="162" t="str">
        <f>IF(AK9&lt;2,"",IF(AK8&lt;4,"",IF(K24=2,K30-M30,IF(M24=2,M30-K30,""))))</f>
        <v/>
      </c>
      <c r="AK25" s="162" t="str">
        <f>IF(AK9&lt;2,"",IF(AK8&lt;5,"",IF(N24=2,N30-P30,IF(P24=2,P30-N30,""))))</f>
        <v/>
      </c>
      <c r="AL25" s="162" t="str">
        <f>IF(AK9&lt;2,"",IF(AK8&lt;6,"",IF(Q24=2,Q30-S30,IF(S24=2,S30-Q30,""))))</f>
        <v/>
      </c>
      <c r="AM25" s="162" t="str">
        <f>IF(AK9&lt;2,"",IF(AK8&lt;7,"",IF(T24=2,T30-V30,IF(V24=2,V30-T30,""))))</f>
        <v/>
      </c>
      <c r="AN25" s="162" t="str">
        <f>IF(AK9&lt;2,"",IF(AK8&lt;8,"",IF(W24=2,W30-Y30,IF(Y24=2,Y30-W30,""))))</f>
        <v/>
      </c>
      <c r="AO25" s="162" t="str">
        <f>IF(AK9&lt;2,"",IF(AK8&lt;9,"",IF(Z24=2,Z30-AB30,IF(AB24=2,AB30-Z30,""))))</f>
        <v/>
      </c>
      <c r="AP25" s="162" t="str">
        <f>IF(AK9&lt;2,"",IF(AK8&lt;10,"",IF(AC24=2,AC30-AE30,IF(AE24=2,AE30-AC30,""))))</f>
        <v/>
      </c>
      <c r="AQ25" s="161">
        <f>SUM(AG25:AP25)</f>
        <v>-45</v>
      </c>
      <c r="AS25" s="132"/>
      <c r="AT25" s="509"/>
      <c r="AU25" s="509"/>
      <c r="AV25" s="509"/>
      <c r="AW25" s="508"/>
    </row>
    <row r="26" spans="1:51" ht="15">
      <c r="A26" s="46" t="str">
        <f>IF(AK7&gt;1,"Game 2","")</f>
        <v>Game 2</v>
      </c>
      <c r="B26" s="112">
        <v>21</v>
      </c>
      <c r="C26" s="113" t="s">
        <v>37</v>
      </c>
      <c r="D26" s="114">
        <v>15</v>
      </c>
      <c r="E26" s="112">
        <v>15</v>
      </c>
      <c r="F26" s="113" t="str">
        <f>IF(AK8&gt;1,IF(AK7&gt;1,"/",""),"")</f>
        <v>/</v>
      </c>
      <c r="G26" s="114">
        <v>23</v>
      </c>
      <c r="H26" s="112">
        <v>19</v>
      </c>
      <c r="I26" s="113" t="str">
        <f>IF(AK8&gt;2,IF(AK7&gt;1,"/",""),"")</f>
        <v>/</v>
      </c>
      <c r="J26" s="114">
        <v>16</v>
      </c>
      <c r="K26" s="112"/>
      <c r="L26" s="113" t="str">
        <f>IF(AK8&gt;3,IF(AK7&gt;1,"/",""),"")</f>
        <v/>
      </c>
      <c r="M26" s="114"/>
      <c r="N26" s="112"/>
      <c r="O26" s="113" t="str">
        <f>IF(AK8&gt;4,IF(AK7&gt;1,"/",""),"")</f>
        <v/>
      </c>
      <c r="P26" s="114"/>
      <c r="Q26" s="112"/>
      <c r="R26" s="113" t="str">
        <f>IF(AK8&gt;5,IF(AK7&gt;1,"/",""),"")</f>
        <v/>
      </c>
      <c r="S26" s="114"/>
      <c r="T26" s="112"/>
      <c r="U26" s="113" t="str">
        <f>IF(AK8&gt;6,IF(AK7&gt;1,"/",""),"")</f>
        <v/>
      </c>
      <c r="V26" s="114"/>
      <c r="W26" s="112"/>
      <c r="X26" s="113" t="str">
        <f>IF(AK8&gt;7,IF(AK7&gt;1,"/",""),"")</f>
        <v/>
      </c>
      <c r="Y26" s="114"/>
      <c r="Z26" s="112"/>
      <c r="AA26" s="113" t="str">
        <f>IF(AK8&gt;8,IF(AK7&gt;1,"/",""),"")</f>
        <v/>
      </c>
      <c r="AB26" s="114"/>
      <c r="AC26" s="112"/>
      <c r="AD26" s="113" t="str">
        <f>IF(AK8&gt;9,IF(AK7&gt;1,"/",""),"")</f>
        <v/>
      </c>
      <c r="AE26" s="114"/>
      <c r="AF26" s="160" t="str">
        <f>IF(AK9&gt;2,"Team 3","")</f>
        <v>Team 3</v>
      </c>
      <c r="AG26" s="162" t="str">
        <f>IF(AK9&lt;3,"",IF(AK8&lt;1,"",IF(B24=3,B30-D30,IF(D24=3,D30-B30,""))))</f>
        <v/>
      </c>
      <c r="AH26" s="162">
        <f>IF(AK9&lt;3,"",IF(AK8&lt;2,"",IF(E24=3,E30-G30,IF(G24=3,G30-E30,""))))</f>
        <v>25</v>
      </c>
      <c r="AI26" s="162">
        <f>IF(AK9&lt;3,"",IF(AK8&lt;3,"",IF(H24=3,H30-J30,IF(J24=3,J30-H30,""))))</f>
        <v>2</v>
      </c>
      <c r="AJ26" s="162" t="str">
        <f>IF(AK9&lt;3,"",IF(AK8&lt;4,"",IF(K24=3,K30-M30,IF(M24=3,M30-K30,""))))</f>
        <v/>
      </c>
      <c r="AK26" s="162" t="str">
        <f>IF(AK9&lt;3,"",IF(AK8&lt;5,"",IF(N24=3,N30-P30,IF(P24=3,P30-N30,""))))</f>
        <v/>
      </c>
      <c r="AL26" s="162" t="str">
        <f>IF(AK9&lt;3,"",IF(AK8&lt;6,"",IF(Q24=3,Q30-S30,IF(S24=3,S30-Q30,""))))</f>
        <v/>
      </c>
      <c r="AM26" s="162" t="str">
        <f>IF(AK9&lt;3,"",IF(AK8&lt;7,"",IF(T24=3,T30-V30,IF(V24=3,V30-T30,""))))</f>
        <v/>
      </c>
      <c r="AN26" s="162" t="str">
        <f>IF(AK9&lt;3,"",IF(AK8&lt;8,"",IF(W24=3,W30-Y30,IF(Y24=3,Y30-W30,""))))</f>
        <v/>
      </c>
      <c r="AO26" s="162" t="str">
        <f>IF(AK9&lt;3,"",IF(AK8&lt;9,"",IF(Z24=3,Z30-AB30,IF(AB24=3,AB30-Z30,""))))</f>
        <v/>
      </c>
      <c r="AP26" s="162" t="str">
        <f>IF(AK9&lt;3,"",IF(AK8&lt;9,"",IF(AC24=3,AC30-AE30,IF(AE24=3,AE30-AC30,""))))</f>
        <v/>
      </c>
      <c r="AQ26" s="161">
        <f>SUM(AG26:AP26)</f>
        <v>27</v>
      </c>
      <c r="AS26" s="132"/>
      <c r="AT26" s="509"/>
      <c r="AU26" s="509"/>
      <c r="AV26" s="509"/>
      <c r="AW26" s="508"/>
    </row>
    <row r="27" spans="1:51" ht="15" hidden="1">
      <c r="A27" s="46" t="str">
        <f>IF(AK7&gt;2,"Game 3","")</f>
        <v/>
      </c>
      <c r="B27" s="112"/>
      <c r="C27" s="113" t="s">
        <v>37</v>
      </c>
      <c r="D27" s="114"/>
      <c r="E27" s="112"/>
      <c r="F27" s="113" t="str">
        <f>IF(AK8&gt;1,IF(AK7&gt;2,"/",""),"")</f>
        <v/>
      </c>
      <c r="G27" s="114"/>
      <c r="H27" s="112"/>
      <c r="I27" s="113" t="str">
        <f>IF(AK8&gt;2,IF(AK7&gt;2,"/",""),"")</f>
        <v/>
      </c>
      <c r="J27" s="114"/>
      <c r="K27" s="112"/>
      <c r="L27" s="113" t="str">
        <f>IF(AK8&gt;3,IF(AK7&gt;2,"/",""),"")</f>
        <v/>
      </c>
      <c r="M27" s="114"/>
      <c r="N27" s="112"/>
      <c r="O27" s="113" t="str">
        <f>IF(AK8&gt;4,IF(AK7&gt;2,"/",""),"")</f>
        <v/>
      </c>
      <c r="P27" s="114"/>
      <c r="Q27" s="112"/>
      <c r="R27" s="113" t="str">
        <f>IF(AK8&gt;5,IF(AK7&gt;2,"/",""),"")</f>
        <v/>
      </c>
      <c r="S27" s="114"/>
      <c r="T27" s="112"/>
      <c r="U27" s="113" t="str">
        <f>IF(AK8&gt;6,IF(AK7&gt;2,"/",""),"")</f>
        <v/>
      </c>
      <c r="V27" s="114"/>
      <c r="W27" s="112"/>
      <c r="X27" s="113" t="str">
        <f>IF(AK8&gt;7,IF(AK7&gt;2,"/",""),"")</f>
        <v/>
      </c>
      <c r="Y27" s="114"/>
      <c r="Z27" s="112"/>
      <c r="AA27" s="113" t="str">
        <f>IF(AK8&gt;8,IF(AK7&gt;2,"/",""),"")</f>
        <v/>
      </c>
      <c r="AB27" s="114"/>
      <c r="AC27" s="112"/>
      <c r="AD27" s="113" t="str">
        <f>IF(AK8&gt;9,IF(AK7&gt;2,"/",""),"")</f>
        <v/>
      </c>
      <c r="AE27" s="114"/>
      <c r="AF27" s="160" t="str">
        <f>IF(AK9&gt;3,"Team 4","")</f>
        <v/>
      </c>
      <c r="AG27" s="162" t="str">
        <f>IF(AK9&lt;4,"",IF(AK8&lt;1,"",IF(B24=4,B30-D30,IF(D24=4,D30-B30,""))))</f>
        <v/>
      </c>
      <c r="AH27" s="162" t="str">
        <f>IF(AK9&lt;4,"",IF(AK8&lt;2,"",IF(E24=4,E30-G30,IF(G24=4,G30-E30,""))))</f>
        <v/>
      </c>
      <c r="AI27" s="162" t="str">
        <f>IF(AK9&lt;4,"",IF(AK8&lt;3,"",IF(H24=4,H30-J30,IF(J24=4,J30-H30,""))))</f>
        <v/>
      </c>
      <c r="AJ27" s="162" t="str">
        <f>IF(AK9&lt;4,"",IF(AK8&lt;4,"",IF(K24=4,K30-M30,IF(M24=4,M30-K30,""))))</f>
        <v/>
      </c>
      <c r="AK27" s="162" t="str">
        <f>IF(AK9&lt;4,"",IF(AK8&lt;5,"",IF(N24=4,N30-P30,IF(P24=4,P30-N30,""))))</f>
        <v/>
      </c>
      <c r="AL27" s="162" t="str">
        <f>IF(AK9&lt;4,"",IF(AK8&lt;6,"",IF(Q24=4,Q30-S30,IF(S24=4,S30-Q30,""))))</f>
        <v/>
      </c>
      <c r="AM27" s="162" t="str">
        <f>IF(AK9&lt;4,"",IF(AK8&lt;7,"",IF(T24=4,T30-V30,IF(V24=4,V30-T30,""))))</f>
        <v/>
      </c>
      <c r="AN27" s="162" t="str">
        <f>IF(AK9&lt;4,"",IF(AK8&lt;8,"",IF(W24=4,W30-Y30,IF(Y24=4,Y30-W30,""))))</f>
        <v/>
      </c>
      <c r="AO27" s="162" t="str">
        <f>IF(AK9&lt;4,"",IF(AK8&lt;9,"",IF(Z24=4,Z30-AB30,IF(AB24=4,AB30-Z30,""))))</f>
        <v/>
      </c>
      <c r="AP27" s="162" t="str">
        <f>IF(AK9&lt;4,"",IF(AK8&lt;10,"",IF(AC24=4,AC30-AE30,IF(AE24=4,AE30-AC30,""))))</f>
        <v/>
      </c>
      <c r="AQ27" s="161">
        <f>SUM(AG27:AP27)</f>
        <v>0</v>
      </c>
      <c r="AW27" s="508"/>
    </row>
    <row r="28" spans="1:51" ht="15" hidden="1">
      <c r="A28" s="46" t="str">
        <f>IF(AK7&gt;3,"Game 4","")</f>
        <v/>
      </c>
      <c r="B28" s="112"/>
      <c r="C28" s="113" t="s">
        <v>37</v>
      </c>
      <c r="D28" s="114"/>
      <c r="E28" s="112"/>
      <c r="F28" s="113" t="str">
        <f>IF(AK8&gt;1,IF(AK7&gt;3,"/",""),"")</f>
        <v/>
      </c>
      <c r="G28" s="114"/>
      <c r="H28" s="112"/>
      <c r="I28" s="113" t="str">
        <f>IF(AK8&gt;2,IF(AK7&gt;3,"/",""),"")</f>
        <v/>
      </c>
      <c r="J28" s="114"/>
      <c r="K28" s="112"/>
      <c r="L28" s="113" t="str">
        <f>IF(AK8&gt;3,IF(AK7&gt;3,"/",""),"")</f>
        <v/>
      </c>
      <c r="M28" s="114"/>
      <c r="N28" s="112"/>
      <c r="O28" s="113" t="str">
        <f>IF(AK8&gt;4,IF(AK7&gt;3,"/",""),"")</f>
        <v/>
      </c>
      <c r="P28" s="114"/>
      <c r="Q28" s="112"/>
      <c r="R28" s="113" t="str">
        <f>IF(AK8&gt;5,IF(AK7&gt;3,"/",""),"")</f>
        <v/>
      </c>
      <c r="S28" s="114"/>
      <c r="T28" s="112"/>
      <c r="U28" s="113" t="str">
        <f>IF(AK8&gt;6,IF(AK7&gt;3,"/",""),"")</f>
        <v/>
      </c>
      <c r="V28" s="114"/>
      <c r="W28" s="112"/>
      <c r="X28" s="113" t="str">
        <f>IF(AK8&gt;7,IF(AK7&gt;3,"/",""),"")</f>
        <v/>
      </c>
      <c r="Y28" s="114"/>
      <c r="Z28" s="112"/>
      <c r="AA28" s="113" t="str">
        <f>IF(AK8&gt;8,IF(AK7&gt;3,"/",""),"")</f>
        <v/>
      </c>
      <c r="AB28" s="114"/>
      <c r="AC28" s="112"/>
      <c r="AD28" s="113" t="str">
        <f>IF(AK8&gt;9,IF(AK7&gt;3,"/",""),"")</f>
        <v/>
      </c>
      <c r="AE28" s="114"/>
      <c r="AF28" s="160" t="str">
        <f>IF(AK9&gt;4,"Team 5","")</f>
        <v/>
      </c>
      <c r="AG28" s="163" t="str">
        <f>IF(AK9&lt;5,"",IF(AK8&lt;1,"",IF(B24=5,B30-D30,IF(D24=5,D30-B30,""))))</f>
        <v/>
      </c>
      <c r="AH28" s="162" t="str">
        <f>IF(AK9&lt;5,"",IF(AK8&lt;2,"",IF(E24=5,E30-G30,IF(G24=5,G30-E30,""))))</f>
        <v/>
      </c>
      <c r="AI28" s="162" t="str">
        <f>IF(AK9&lt;5,"",IF(AK8&lt;3,"",IF(H24=5,H30-J30,IF(J24=5,J30-H30,""))))</f>
        <v/>
      </c>
      <c r="AJ28" s="162" t="str">
        <f>IF(AK9&lt;5,"",IF(AK8&lt;4,"",IF(K24=5,K30-M30,IF(M24=5,M30-K30,""))))</f>
        <v/>
      </c>
      <c r="AK28" s="162" t="str">
        <f>IF(AK9&lt;5,"",IF(AK8&lt;5,"",IF(N24=5,N30-P30,IF(P24=5,P30-N30,""))))</f>
        <v/>
      </c>
      <c r="AL28" s="162" t="str">
        <f>IF(AK9&lt;5,"",IF(AK8&lt;6,"",IF(Q24=5,Q30-S30,IF(S24=5,S30-Q30,""))))</f>
        <v/>
      </c>
      <c r="AM28" s="162" t="str">
        <f>IF(AK9&lt;5,"",IF(AK8&lt;7,"",IF(T24=5,T30-V30,IF(V24=5,V30-T30,""))))</f>
        <v/>
      </c>
      <c r="AN28" s="162" t="str">
        <f>IF(AK9&lt;5,"",IF(AK8&lt;8,"",IF(W24=5,W30-Y30,IF(Y24=5,Y30-W30,""))))</f>
        <v/>
      </c>
      <c r="AO28" s="162" t="str">
        <f>IF(AK9&lt;5,"",IF(AK8&lt;9,"",IF(Z24=5,Z30-AB30,IF(AB24=5,AB30-Z30,""))))</f>
        <v/>
      </c>
      <c r="AP28" s="162" t="str">
        <f>IF(AK9&lt;5,"",IF(AK8&lt;10,"",IF(AC24=5,AC30-AE30,IF(AE24=5,AE30-AC30,""))))</f>
        <v/>
      </c>
      <c r="AQ28" s="161">
        <f>SUM(AG28:AP28)</f>
        <v>0</v>
      </c>
      <c r="AW28" s="509"/>
      <c r="AX28" s="509"/>
      <c r="AY28" s="509"/>
    </row>
    <row r="29" spans="1:51" ht="15">
      <c r="A29" s="46" t="str">
        <f>IF(AK7&gt;4,"Game 5","")</f>
        <v/>
      </c>
      <c r="B29" s="112"/>
      <c r="C29" s="113" t="s">
        <v>37</v>
      </c>
      <c r="D29" s="114"/>
      <c r="E29" s="112"/>
      <c r="F29" s="113" t="str">
        <f>IF(AK8&gt;1,IF(AK7&gt;4,"/",""),"")</f>
        <v/>
      </c>
      <c r="G29" s="114"/>
      <c r="H29" s="112"/>
      <c r="I29" s="113" t="str">
        <f>IF(AK8&gt;2,IF(AK7&gt;4,"/",""),"")</f>
        <v/>
      </c>
      <c r="J29" s="114"/>
      <c r="K29" s="112"/>
      <c r="L29" s="113" t="str">
        <f>IF(AK8&gt;3,IF(AK7&gt;4,"/",""),"")</f>
        <v/>
      </c>
      <c r="M29" s="114"/>
      <c r="N29" s="112"/>
      <c r="O29" s="113" t="str">
        <f>IF(AK8&gt;4,IF(AK7&gt;4,"/",""),"")</f>
        <v/>
      </c>
      <c r="P29" s="114"/>
      <c r="Q29" s="112"/>
      <c r="R29" s="113" t="str">
        <f>IF(AK8&gt;5,IF(AK7&gt;4,"/",""),"")</f>
        <v/>
      </c>
      <c r="S29" s="114"/>
      <c r="T29" s="112"/>
      <c r="U29" s="113" t="str">
        <f>IF(AK8&gt;6,IF(AK7&gt;4,"/",""),"")</f>
        <v/>
      </c>
      <c r="V29" s="114"/>
      <c r="W29" s="112"/>
      <c r="X29" s="113" t="str">
        <f>IF(AK8&gt;7,IF(AK7&gt;4,"/",""),"")</f>
        <v/>
      </c>
      <c r="Y29" s="114"/>
      <c r="Z29" s="112"/>
      <c r="AA29" s="113" t="str">
        <f>IF(AK8&gt;8,IF(AK7&gt;4,"/",""),"")</f>
        <v/>
      </c>
      <c r="AB29" s="114"/>
      <c r="AC29" s="112"/>
      <c r="AD29" s="113" t="str">
        <f>IF(AK8&gt;9,IF(AK7&gt;4,"/",""),"")</f>
        <v/>
      </c>
      <c r="AE29" s="114"/>
      <c r="AF29" s="1"/>
      <c r="AG29" s="1"/>
      <c r="AH29" s="1"/>
      <c r="AI29" s="1"/>
      <c r="AJ29" s="1"/>
      <c r="AK29" s="1"/>
      <c r="AL29" s="1"/>
      <c r="AM29" s="1"/>
      <c r="AN29" s="1"/>
      <c r="AO29" s="1"/>
      <c r="AP29" s="1"/>
      <c r="AQ29" s="1"/>
      <c r="AW29" s="509"/>
      <c r="AX29" s="509"/>
      <c r="AY29" s="509"/>
    </row>
    <row r="30" spans="1:51" hidden="1">
      <c r="A30" s="116"/>
      <c r="B30" s="116">
        <f>IF($AK7=5,SUM(B25:B29),IF($AK7=4,SUM(B25:B28),IF($AK7=3,SUM(B25:B27),IF($AK7=2,SUM(B25:B26),B25))))</f>
        <v>45</v>
      </c>
      <c r="C30" s="116"/>
      <c r="D30" s="116">
        <f>IF($AK7=5,SUM(D25:D29),IF($AK7=4,SUM(D25:D28),IF($AK7=3,SUM(D25:D27),IF($AK7=2,SUM(D25:D26),D25))))</f>
        <v>25</v>
      </c>
      <c r="E30" s="116">
        <f>IF($AK7=5,SUM(E25:E29),IF($AK7=4,SUM(E25:E28),IF($AK7=3,SUM(E25:E27),IF($AK7=2,SUM(E25:E26),E25))))</f>
        <v>29</v>
      </c>
      <c r="F30" s="116"/>
      <c r="G30" s="116">
        <f>IF($AK7=5,SUM(G25:G29),IF($AK7=4,SUM(G25:G28),IF($AK7=3,SUM(G25:G27),IF($AK7=2,SUM(G25:G26),G25))))</f>
        <v>54</v>
      </c>
      <c r="H30" s="116">
        <f>IF($AK7=5,SUM(H25:H29),IF($AK7=4,SUM(H25:H28),IF($AK7=3,SUM(H25:H27),IF($AK7=2,SUM(H25:H26),H25))))</f>
        <v>34</v>
      </c>
      <c r="I30" s="116"/>
      <c r="J30" s="116">
        <f>IF($AK7=5,SUM(J25:J29),IF($AK7=4,SUM(J25:J28),IF($AK7=3,SUM(J25:J27),IF($AK7=2,SUM(J25:J26),J25))))</f>
        <v>36</v>
      </c>
      <c r="K30" s="116">
        <f>IF($AK7=5,SUM(K25:K29),IF($AK7=4,SUM(K25:K28),IF($AK7=3,SUM(K25:K27),IF($AK7=2,SUM(K25:K26),K25))))</f>
        <v>0</v>
      </c>
      <c r="L30" s="116"/>
      <c r="M30" s="116">
        <f>IF($AK7=5,SUM(M25:M29),IF($AK7=4,SUM(M25:M28),IF($AK7=3,SUM(M25:M27),IF($AK7=2,SUM(M25:M26),M25))))</f>
        <v>0</v>
      </c>
      <c r="N30" s="116">
        <f>IF($AK7=5,SUM(N25:N29),IF($AK7=4,SUM(N25:N28),IF($AK7=3,SUM(N25:N27),IF($AK7=2,SUM(N25:N26),N25))))</f>
        <v>0</v>
      </c>
      <c r="O30" s="116"/>
      <c r="P30" s="116">
        <f>IF($AK7=5,SUM(P25:P29),IF($AK7=4,SUM(P25:P28),IF($AK7=3,SUM(P25:P27),IF($AK7=2,SUM(P25:P26),P25))))</f>
        <v>0</v>
      </c>
      <c r="Q30" s="116">
        <f>IF($AK7=5,SUM(Q25:Q29),IF($AK7=4,SUM(Q25:Q28),IF($AK7=3,SUM(Q25:Q27),IF($AK7=2,SUM(Q25:Q26),Q25))))</f>
        <v>0</v>
      </c>
      <c r="R30" s="116"/>
      <c r="S30" s="116">
        <f>IF($AK7=5,SUM(S25:S29),IF($AK7=4,SUM(S25:S28),IF($AK7=3,SUM(S25:S27),IF($AK7=2,SUM(S25:S26),S25))))</f>
        <v>0</v>
      </c>
      <c r="T30" s="116">
        <f>IF($AK7=5,SUM(T25:T29),IF($AK7=4,SUM(T25:T28),IF($AK7=3,SUM(T25:T27),IF($AK7=2,SUM(T25:T26),T25))))</f>
        <v>0</v>
      </c>
      <c r="U30" s="116"/>
      <c r="V30" s="116">
        <f>IF($AK7=5,SUM(V25:V29),IF($AK7=4,SUM(V25:V28),IF($AK7=3,SUM(V25:V27),IF($AK7=2,SUM(V25:V26),V25))))</f>
        <v>0</v>
      </c>
      <c r="W30" s="116">
        <f>IF($AK7=5,SUM(W25:W29),IF($AK7=4,SUM(W25:W28),IF($AK7=3,SUM(W25:W27),IF($AK7=2,SUM(W25:W26),W25))))</f>
        <v>0</v>
      </c>
      <c r="X30" s="116"/>
      <c r="Y30" s="116">
        <f>IF($AK7=5,SUM(Y25:Y29),IF($AK7=4,SUM(Y25:Y28),IF($AK7=3,SUM(Y25:Y27),IF($AK7=2,SUM(Y25:Y26),Y25))))</f>
        <v>0</v>
      </c>
      <c r="Z30" s="116">
        <f>IF($AK7=5,SUM(Z25:Z29),IF($AK7=4,SUM(Z25:Z28),IF($AK7=3,SUM(Z25:Z27),IF($AK7=2,SUM(Z25:Z26),Z25))))</f>
        <v>0</v>
      </c>
      <c r="AA30" s="116"/>
      <c r="AB30" s="116">
        <f>IF($AK7=5,SUM(AB25:AB29),IF($AK7=4,SUM(AB25:AB28),IF($AK7=3,SUM(AB25:AB27),IF($AK7=2,SUM(AB25:AB26),AB25))))</f>
        <v>0</v>
      </c>
      <c r="AC30" s="116">
        <f>IF($AK7=5,SUM(AC25:AC29),IF($AK7=4,SUM(AC25:AC28),IF($AK7=3,SUM(AC25:AC27),IF($AK7=2,SUM(AC25:AC26),AC25))))</f>
        <v>0</v>
      </c>
      <c r="AD30" s="116"/>
      <c r="AE30" s="116">
        <f>IF($AK7=5,SUM(AE25:AE29),IF($AK7=4,SUM(AE25:AE28),IF($AK7=3,SUM(AE25:AE27),IF($AK7=2,SUM(AE25:AE26),AE25))))</f>
        <v>0</v>
      </c>
      <c r="AF30" s="1"/>
      <c r="AG30" s="1"/>
      <c r="AH30" s="1"/>
      <c r="AI30" s="1"/>
      <c r="AJ30" s="1"/>
      <c r="AK30" s="1"/>
      <c r="AL30" s="1"/>
      <c r="AM30" s="1"/>
      <c r="AN30" s="1"/>
      <c r="AO30" s="1"/>
      <c r="AP30" s="1"/>
      <c r="AQ30" s="1"/>
    </row>
    <row r="31" spans="1:51" s="115" customFormat="1" ht="12.75" hidden="1" customHeight="1">
      <c r="A31" s="115" t="s">
        <v>201</v>
      </c>
      <c r="B31" s="164">
        <f>IF(AND(B25&gt;D25,$AK8&gt;0,ISNUMBER(B25),ISNUMBER(D25)),1,0)</f>
        <v>1</v>
      </c>
      <c r="C31" s="164"/>
      <c r="D31" s="165">
        <f>IF(AND(D25&gt;B25,$AK8&gt;0,ISNUMBER(B25),ISNUMBER(D25)),1,0)</f>
        <v>0</v>
      </c>
      <c r="E31" s="164">
        <f>IF(AND(E25&gt;G25,$AK8&gt;1,ISNUMBER(E25),ISNUMBER(G25)),1,0)</f>
        <v>0</v>
      </c>
      <c r="F31" s="164"/>
      <c r="G31" s="165">
        <f>IF(AND(G25&gt;E25,$AK8&gt;1,ISNUMBER(E25),ISNUMBER(G25)),1,0)</f>
        <v>1</v>
      </c>
      <c r="H31" s="164">
        <f>IF(AND(H25&gt;J25,$AK8&gt;2,ISNUMBER(H25),ISNUMBER(J25)),1,0)</f>
        <v>0</v>
      </c>
      <c r="I31" s="164"/>
      <c r="J31" s="165">
        <f>IF(AND(J25&gt;H25,$AK8&gt;2,ISNUMBER(H25),ISNUMBER(J25)),1,0)</f>
        <v>1</v>
      </c>
      <c r="K31" s="164">
        <f>IF(AND(K25&gt;M25,$AK8&gt;3,ISNUMBER(K25),ISNUMBER(M25)),1,0)</f>
        <v>0</v>
      </c>
      <c r="L31" s="164"/>
      <c r="M31" s="165">
        <f>IF(AND(M25&gt;K25,$AK8&gt;3,ISNUMBER(K25),ISNUMBER(M25)),1,0)</f>
        <v>0</v>
      </c>
      <c r="N31" s="164">
        <f>IF(AND(N25&gt;P25,$AK8&gt;4,ISNUMBER(N25),ISNUMBER(P25)),1,0)</f>
        <v>0</v>
      </c>
      <c r="O31" s="164"/>
      <c r="P31" s="165">
        <f>IF(AND(P25&gt;N25,$AK8&gt;4,ISNUMBER(N25),ISNUMBER(P25)),1,0)</f>
        <v>0</v>
      </c>
      <c r="Q31" s="164">
        <f>IF(AND(Q25&gt;S25,$AK8&gt;5,ISNUMBER(Q25),ISNUMBER(S25)),1,0)</f>
        <v>0</v>
      </c>
      <c r="R31" s="164"/>
      <c r="S31" s="165">
        <f>IF(AND(S25&gt;Q25,$AK8&gt;5,ISNUMBER(Q25),ISNUMBER(S25)),1,0)</f>
        <v>0</v>
      </c>
      <c r="T31" s="164">
        <f>IF(AND(T25&gt;V25,$AK8&gt;6,ISNUMBER(T25),ISNUMBER(V25)),1,0)</f>
        <v>0</v>
      </c>
      <c r="U31" s="164"/>
      <c r="V31" s="165">
        <f>IF(AND(V25&gt;T25,$AK8&gt;6,ISNUMBER(T25),ISNUMBER(V25)),1,0)</f>
        <v>0</v>
      </c>
      <c r="W31" s="164">
        <f>IF(AND(W25&gt;Y25,$AK8&gt;7,ISNUMBER(W25),ISNUMBER(Y25)),1,0)</f>
        <v>0</v>
      </c>
      <c r="X31" s="164"/>
      <c r="Y31" s="165">
        <f>IF(AND(Y25&gt;W25,$AK8&gt;7,ISNUMBER(W25),ISNUMBER(Y25)),1,0)</f>
        <v>0</v>
      </c>
      <c r="Z31" s="164">
        <f>IF(AND(Z25&gt;AB25,$AK8&gt;8,ISNUMBER(Z25),ISNUMBER(AB25)),1,0)</f>
        <v>0</v>
      </c>
      <c r="AA31" s="164"/>
      <c r="AB31" s="165">
        <f>IF(AND(AB25&gt;Z25,$AK8&gt;8,ISNUMBER(Z25),ISNUMBER(AB25)),1,0)</f>
        <v>0</v>
      </c>
      <c r="AC31" s="164">
        <f>IF(AND(AC25&gt;AE25,$AK8&gt;9,ISNUMBER(AC25),ISNUMBER(AE25)),1,0)</f>
        <v>0</v>
      </c>
      <c r="AD31" s="164"/>
      <c r="AE31" s="165">
        <f>IF(AND(AE25&gt;AC25,$AK8&gt;9,ISNUMBER(AC25),ISNUMBER(AE25)),1,0)</f>
        <v>0</v>
      </c>
      <c r="AT31" s="513"/>
      <c r="AU31" s="513"/>
      <c r="AV31" s="513"/>
      <c r="AW31" s="514"/>
      <c r="AX31" s="513"/>
      <c r="AY31" s="513"/>
    </row>
    <row r="32" spans="1:51" s="115" customFormat="1" ht="12.75" hidden="1" customHeight="1">
      <c r="A32" s="115" t="s">
        <v>202</v>
      </c>
      <c r="B32" s="164">
        <f>IF(AND(B26&gt;D26,$AK8&gt;0,$AK7&gt;1,ISNUMBER(B26),ISNUMBER(D26)),1,0)</f>
        <v>1</v>
      </c>
      <c r="C32" s="164"/>
      <c r="D32" s="165">
        <f>IF(AND(D26&gt;B26,$AK8&gt;0,$AK7&gt;1,ISNUMBER(B26),ISNUMBER(D26)),1,0)</f>
        <v>0</v>
      </c>
      <c r="E32" s="164">
        <f>IF(AND(E26&gt;G26,$AK8&gt;1,$AK7&gt;1,ISNUMBER(E26),ISNUMBER(G26)),1,0)</f>
        <v>0</v>
      </c>
      <c r="F32" s="164"/>
      <c r="G32" s="165">
        <f>IF(AND(G26&gt;E26,$AK8&gt;1,$AK7&gt;1,ISNUMBER(E26),ISNUMBER(G26)),1,0)</f>
        <v>1</v>
      </c>
      <c r="H32" s="164">
        <f>IF(AND(H26&gt;J26,$AK8&gt;2,$AK7&gt;1,ISNUMBER(H26),ISNUMBER(J26)),1,0)</f>
        <v>1</v>
      </c>
      <c r="I32" s="164"/>
      <c r="J32" s="165">
        <f>IF(AND(J26&gt;H26,$AK8&gt;2,$AK7&gt;1,ISNUMBER(H26),ISNUMBER(J26)),1,0)</f>
        <v>0</v>
      </c>
      <c r="K32" s="164">
        <f>IF(AND(K26&gt;M26,$AK8&gt;3,$AK7&gt;1,ISNUMBER(K26),ISNUMBER(M26)),1,0)</f>
        <v>0</v>
      </c>
      <c r="L32" s="164"/>
      <c r="M32" s="165">
        <f>IF(AND(M26&gt;K26,$AK8&gt;3,$AK7&gt;1,ISNUMBER(K26),ISNUMBER(M26)),1,0)</f>
        <v>0</v>
      </c>
      <c r="N32" s="164">
        <f>IF(AND(N26&gt;P26,$AK8&gt;4,$AK7&gt;1,ISNUMBER(N26),ISNUMBER(P26)),1,0)</f>
        <v>0</v>
      </c>
      <c r="O32" s="164"/>
      <c r="P32" s="165">
        <f>IF(AND(P26&gt;N26,$AK8&gt;4,$AK7&gt;1,ISNUMBER(N26),ISNUMBER(P26)),1,0)</f>
        <v>0</v>
      </c>
      <c r="Q32" s="164">
        <f>IF(AND(Q26&gt;S26,$AK8&gt;5,$AK7&gt;1,ISNUMBER(Q26),ISNUMBER(S26)),1,0)</f>
        <v>0</v>
      </c>
      <c r="R32" s="164"/>
      <c r="S32" s="165">
        <f>IF(AND(S26&gt;Q26,$AK8&gt;5,$AK7&gt;1,ISNUMBER(Q26),ISNUMBER(S26)),1,0)</f>
        <v>0</v>
      </c>
      <c r="T32" s="164">
        <f>IF(AND(T26&gt;V26,$AK8&gt;6,$AK7&gt;1,ISNUMBER(T26),ISNUMBER(V26)),1,0)</f>
        <v>0</v>
      </c>
      <c r="U32" s="164"/>
      <c r="V32" s="165">
        <f>IF(AND(V26&gt;T26,$AK8&gt;6,$AK7&gt;1,ISNUMBER(T26),ISNUMBER(V26)),1,0)</f>
        <v>0</v>
      </c>
      <c r="W32" s="164">
        <f>IF(AND(W26&gt;Y26,$AK8&gt;7,$AK7&gt;1,ISNUMBER(W26),ISNUMBER(Y26)),1,0)</f>
        <v>0</v>
      </c>
      <c r="X32" s="164"/>
      <c r="Y32" s="165">
        <f>IF(AND(Y26&gt;W26,$AK8&gt;7,$AK7&gt;1,ISNUMBER(W26),ISNUMBER(Y26)),1,0)</f>
        <v>0</v>
      </c>
      <c r="Z32" s="164">
        <f>IF(AND(Z26&gt;AB26,$AK8&gt;8,$AK7&gt;1,ISNUMBER(Z26),ISNUMBER(AB26)),1,0)</f>
        <v>0</v>
      </c>
      <c r="AA32" s="164"/>
      <c r="AB32" s="165">
        <f>IF(AND(AB26&gt;Z26,$AK8&gt;8,$AK7&gt;1,ISNUMBER(Z26),ISNUMBER(AB26)),1,0)</f>
        <v>0</v>
      </c>
      <c r="AC32" s="164">
        <f>IF(AND(AC26&gt;AE26,$AK8&gt;9,$AK7&gt;1,ISNUMBER(AC26),ISNUMBER(AE26)),1,0)</f>
        <v>0</v>
      </c>
      <c r="AD32" s="164"/>
      <c r="AE32" s="165">
        <f>IF(AND(AE26&gt;AC26,$AK8&gt;9,$AK7&gt;1,ISNUMBER(AC26),ISNUMBER(AE26)),1,0)</f>
        <v>0</v>
      </c>
      <c r="AT32" s="513"/>
      <c r="AU32" s="513"/>
      <c r="AV32" s="513"/>
      <c r="AW32" s="514"/>
      <c r="AX32" s="513"/>
      <c r="AY32" s="513"/>
    </row>
    <row r="33" spans="1:51" s="115" customFormat="1" ht="12.75" hidden="1" customHeight="1">
      <c r="A33" s="115" t="s">
        <v>203</v>
      </c>
      <c r="B33" s="164">
        <f>IF(AND(B27&gt;D27,$AK8&gt;0,$AK7&gt;2,ISNUMBER(B27),ISNUMBER(D27)),1,0)</f>
        <v>0</v>
      </c>
      <c r="C33" s="164"/>
      <c r="D33" s="165">
        <f>IF(AND(D27&gt;B27,$AK8&gt;0,$AK7&gt;2,ISNUMBER(B27),ISNUMBER(D27)),1,0)</f>
        <v>0</v>
      </c>
      <c r="E33" s="164">
        <f>IF(AND(E27&gt;G27,$AK8&gt;1,$AK7&gt;2,ISNUMBER(E27),ISNUMBER(G27)),1,0)</f>
        <v>0</v>
      </c>
      <c r="F33" s="164"/>
      <c r="G33" s="165">
        <f>IF(AND(G27&gt;E27,$AK8&gt;1,$AK7&gt;2,ISNUMBER(E27),ISNUMBER(G27)),1,0)</f>
        <v>0</v>
      </c>
      <c r="H33" s="164">
        <f>IF(AND(H27&gt;J27,$AK8&gt;2,$AK7&gt;2,ISNUMBER(H27),ISNUMBER(J27)),1,0)</f>
        <v>0</v>
      </c>
      <c r="I33" s="164"/>
      <c r="J33" s="165">
        <f>IF(AND(J27&gt;H27,$AK8&gt;2,$AK7&gt;2,ISNUMBER(H27),ISNUMBER(J27)),1,0)</f>
        <v>0</v>
      </c>
      <c r="K33" s="164">
        <f>IF(AND(K27&gt;M27,$AK8&gt;3,$AK7&gt;2,ISNUMBER(K27),ISNUMBER(M27)),1,0)</f>
        <v>0</v>
      </c>
      <c r="L33" s="164"/>
      <c r="M33" s="165">
        <f>IF(AND(M27&gt;K27,$AK8&gt;3,$AK7&gt;2,ISNUMBER(K27),ISNUMBER(M27)),1,0)</f>
        <v>0</v>
      </c>
      <c r="N33" s="164">
        <f>IF(AND(N27&gt;P27,$AK8&gt;4,$AK7&gt;2,ISNUMBER(N27),ISNUMBER(P27)),1,0)</f>
        <v>0</v>
      </c>
      <c r="O33" s="164"/>
      <c r="P33" s="165">
        <f>IF(AND(P27&gt;N27,$AK8&gt;4,$AK7&gt;2,ISNUMBER(N27),ISNUMBER(P27)),1,0)</f>
        <v>0</v>
      </c>
      <c r="Q33" s="164">
        <f>IF(AND(Q27&gt;S27,$AK8&gt;5,$AK7&gt;2,ISNUMBER(Q27),ISNUMBER(S27)),1,0)</f>
        <v>0</v>
      </c>
      <c r="R33" s="164"/>
      <c r="S33" s="165">
        <f>IF(AND(S27&gt;Q27,$AK8&gt;5,$AK7&gt;2,ISNUMBER(Q27),ISNUMBER(S27)),1,0)</f>
        <v>0</v>
      </c>
      <c r="T33" s="164">
        <f>IF(AND(T27&gt;V27,$AK8&gt;6,$AK7&gt;2,ISNUMBER(T27),ISNUMBER(V27)),1,0)</f>
        <v>0</v>
      </c>
      <c r="U33" s="164"/>
      <c r="V33" s="165">
        <f>IF(AND(V27&gt;T27,$AK8&gt;6,$AK7&gt;2,ISNUMBER(T27),ISNUMBER(V27)),1,0)</f>
        <v>0</v>
      </c>
      <c r="W33" s="164">
        <f>IF(AND(W27&gt;Y27,$AK8&gt;7,$AK7&gt;2,ISNUMBER(W27),ISNUMBER(Y27)),1,0)</f>
        <v>0</v>
      </c>
      <c r="X33" s="164"/>
      <c r="Y33" s="165">
        <f>IF(AND(Y27&gt;W27,$AK8&gt;7,$AK7&gt;2,ISNUMBER(W27),ISNUMBER(Y27)),1,0)</f>
        <v>0</v>
      </c>
      <c r="Z33" s="164">
        <f>IF(AND(Z27&gt;AB27,$AK8&gt;8,$AK7&gt;2,ISNUMBER(Z27),ISNUMBER(AB27)),1,0)</f>
        <v>0</v>
      </c>
      <c r="AA33" s="164"/>
      <c r="AB33" s="165">
        <f>IF(AND(AB27&gt;Z27,$AK8&gt;8,$AK7&gt;2,ISNUMBER(Z27),ISNUMBER(AB27)),1,0)</f>
        <v>0</v>
      </c>
      <c r="AC33" s="164">
        <f>IF(AND(AC27&gt;AE27,$AK8&gt;9,$AK7&gt;2,ISNUMBER(AC27),ISNUMBER(AE27)),1,0)</f>
        <v>0</v>
      </c>
      <c r="AD33" s="164"/>
      <c r="AE33" s="165">
        <f>IF(AND(AE27&gt;AC27,$AK8&gt;9,$AK7&gt;2,ISNUMBER(AC27),ISNUMBER(AE27)),1,0)</f>
        <v>0</v>
      </c>
      <c r="AT33" s="513"/>
      <c r="AU33" s="513"/>
      <c r="AV33" s="513"/>
      <c r="AW33" s="514"/>
      <c r="AX33" s="513"/>
      <c r="AY33" s="513"/>
    </row>
    <row r="34" spans="1:51" s="115" customFormat="1" ht="12.75" hidden="1" customHeight="1">
      <c r="A34" s="115" t="s">
        <v>204</v>
      </c>
      <c r="B34" s="164">
        <f>IF(AND(B28&gt;D28,$AK8&gt;0,$AK7&gt;3,ISNUMBER(B28),ISNUMBER(D28)),1,0)</f>
        <v>0</v>
      </c>
      <c r="C34" s="164"/>
      <c r="D34" s="165">
        <f>IF(AND(D28&gt;B28,$AK8&gt;0,$AK7&gt;3,ISNUMBER(B28),ISNUMBER(D28)),1,0)</f>
        <v>0</v>
      </c>
      <c r="E34" s="164">
        <f>IF(AND(E28&gt;G28,$AK8&gt;1,$AK7&gt;3,ISNUMBER(E28),ISNUMBER(G28)),1,0)</f>
        <v>0</v>
      </c>
      <c r="F34" s="164"/>
      <c r="G34" s="165">
        <f>IF(AND(G28&gt;E28,$AK8&gt;1,$AK7&gt;3,ISNUMBER(E28),ISNUMBER(G28)),1,0)</f>
        <v>0</v>
      </c>
      <c r="H34" s="164">
        <f>IF(AND(H28&gt;J28,$AK8&gt;2,$AK7&gt;3,ISNUMBER(H28),ISNUMBER(J28)),1,0)</f>
        <v>0</v>
      </c>
      <c r="I34" s="164"/>
      <c r="J34" s="165">
        <f>IF(AND(J28&gt;H28,$AK8&gt;2,$AK7&gt;3,ISNUMBER(H28),ISNUMBER(J28)),1,0)</f>
        <v>0</v>
      </c>
      <c r="K34" s="164">
        <f>IF(AND(K28&gt;M28,$AK8&gt;3,$AK7&gt;3,ISNUMBER(K28),ISNUMBER(M28)),1,0)</f>
        <v>0</v>
      </c>
      <c r="L34" s="164"/>
      <c r="M34" s="165">
        <f>IF(AND(M28&gt;K28,$AK8&gt;3,$AK7&gt;3,ISNUMBER(K28),ISNUMBER(M28)),1,0)</f>
        <v>0</v>
      </c>
      <c r="N34" s="164">
        <f>IF(AND(N28&gt;P28,$AK8&gt;4,$AK7&gt;3,ISNUMBER(N28),ISNUMBER(P28)),1,0)</f>
        <v>0</v>
      </c>
      <c r="O34" s="164"/>
      <c r="P34" s="165">
        <f>IF(AND(P28&gt;N28,$AK8&gt;4,$AK7&gt;3,ISNUMBER(N28),ISNUMBER(P28)),1,0)</f>
        <v>0</v>
      </c>
      <c r="Q34" s="164">
        <f>IF(AND(Q28&gt;S28,$AK8&gt;5,$AK7&gt;3,ISNUMBER(Q28),ISNUMBER(S28)),1,0)</f>
        <v>0</v>
      </c>
      <c r="R34" s="164"/>
      <c r="S34" s="165">
        <f>IF(AND(S28&gt;Q28,$AK8&gt;5,$AK7&gt;3,ISNUMBER(Q28),ISNUMBER(S28)),1,0)</f>
        <v>0</v>
      </c>
      <c r="T34" s="164">
        <f>IF(AND(T28&gt;V28,$AK8&gt;6,$AK7&gt;3,ISNUMBER(T28),ISNUMBER(V28)),1,0)</f>
        <v>0</v>
      </c>
      <c r="U34" s="164"/>
      <c r="V34" s="165">
        <f>IF(AND(V28&gt;T28,$AK8&gt;6,$AK7&gt;3,ISNUMBER(T28),ISNUMBER(V28)),1,0)</f>
        <v>0</v>
      </c>
      <c r="W34" s="164">
        <f>IF(AND(W28&gt;Y28,$AK8&gt;7,$AK7&gt;3,ISNUMBER(W28),ISNUMBER(Y28)),1,0)</f>
        <v>0</v>
      </c>
      <c r="X34" s="164"/>
      <c r="Y34" s="165">
        <f>IF(AND(Y28&gt;W28,$AK8&gt;7,$AK7&gt;3,ISNUMBER(W28),ISNUMBER(Y28)),1,0)</f>
        <v>0</v>
      </c>
      <c r="Z34" s="164">
        <f>IF(AND(Z28&gt;AB28,$AK8&gt;8,$AK7&gt;3,ISNUMBER(Z28),ISNUMBER(AB28)),1,0)</f>
        <v>0</v>
      </c>
      <c r="AA34" s="164"/>
      <c r="AB34" s="165">
        <f>IF(AND(AB28&gt;Z28,$AK8&gt;8,$AK7&gt;3,ISNUMBER(Z28),ISNUMBER(AB28)),1,0)</f>
        <v>0</v>
      </c>
      <c r="AC34" s="164">
        <f>IF(AND(AC28&gt;AE28,$AK8&gt;9,$AK7&gt;3,ISNUMBER(AC28),ISNUMBER(AE28)),1,0)</f>
        <v>0</v>
      </c>
      <c r="AD34" s="164"/>
      <c r="AE34" s="165">
        <f>IF(AND(AE28&gt;AC28,$AK8&gt;9,$AK7&gt;3,ISNUMBER(AC28),ISNUMBER(AE28)),1,0)</f>
        <v>0</v>
      </c>
      <c r="AT34" s="513"/>
      <c r="AU34" s="513"/>
      <c r="AV34" s="513"/>
      <c r="AW34" s="514"/>
      <c r="AX34" s="513"/>
      <c r="AY34" s="513"/>
    </row>
    <row r="35" spans="1:51" s="115" customFormat="1" ht="12.75" hidden="1" customHeight="1">
      <c r="A35" s="115" t="s">
        <v>205</v>
      </c>
      <c r="B35" s="164">
        <f>IF(AND(B29&gt;D29,$AK8&gt;0,$AK7&gt;4,ISNUMBER(B29),ISNUMBER(D29)),1,0)</f>
        <v>0</v>
      </c>
      <c r="C35" s="164"/>
      <c r="D35" s="165">
        <f>IF(AND(D29&gt;B29,$AK8&gt;0,$AK7&gt;4,ISNUMBER(B29),ISNUMBER(D29)),1,0)</f>
        <v>0</v>
      </c>
      <c r="E35" s="164">
        <f>IF(AND(E29&gt;G29,$AK8&gt;1,$AK7&gt;4,ISNUMBER(E29),ISNUMBER(G29)),1,0)</f>
        <v>0</v>
      </c>
      <c r="F35" s="164"/>
      <c r="G35" s="165">
        <f>IF(AND(G29&gt;E29,$AK8&gt;1,$AK7&gt;4,ISNUMBER(E29),ISNUMBER(G29)),1,0)</f>
        <v>0</v>
      </c>
      <c r="H35" s="164">
        <f>IF(AND(H29&gt;J29,$AK8&gt;2,$AK7&gt;4,ISNUMBER(H29),ISNUMBER(J29)),1,0)</f>
        <v>0</v>
      </c>
      <c r="I35" s="164"/>
      <c r="J35" s="165">
        <f>IF(AND(J29&gt;H29,$AK8&gt;2,$AK7&gt;4,ISNUMBER(H29),ISNUMBER(J29)),1,0)</f>
        <v>0</v>
      </c>
      <c r="K35" s="164">
        <f>IF(AND(K29&gt;M29,$AK8&gt;3,$AK7&gt;4,ISNUMBER(K29),ISNUMBER(M29)),1,0)</f>
        <v>0</v>
      </c>
      <c r="L35" s="164"/>
      <c r="M35" s="165">
        <f>IF(AND(M29&gt;K29,$AK8&gt;3,$AK7&gt;4,ISNUMBER(K29),ISNUMBER(M29)),1,0)</f>
        <v>0</v>
      </c>
      <c r="N35" s="164">
        <f>IF(AND(N29&gt;P29,$AK8&gt;4,$AK7&gt;4,ISNUMBER(N29),ISNUMBER(P29)),1,0)</f>
        <v>0</v>
      </c>
      <c r="O35" s="164"/>
      <c r="P35" s="165">
        <f>IF(AND(P29&gt;N29,$AK8&gt;4,$AK7&gt;4,ISNUMBER(N29),ISNUMBER(P29)),1,0)</f>
        <v>0</v>
      </c>
      <c r="Q35" s="164">
        <f>IF(AND(Q29&gt;S29,$AK8&gt;5,$AK7&gt;4,ISNUMBER(Q29),ISNUMBER(S29)),1,0)</f>
        <v>0</v>
      </c>
      <c r="R35" s="164"/>
      <c r="S35" s="165">
        <f>IF(AND(S29&gt;Q29,$AK8&gt;5,$AK7&gt;4,ISNUMBER(Q29),ISNUMBER(S29)),1,0)</f>
        <v>0</v>
      </c>
      <c r="T35" s="164">
        <f>IF(AND(T29&gt;V29,$AK8&gt;6,$AK7&gt;4,ISNUMBER(T29),ISNUMBER(V29)),1,0)</f>
        <v>0</v>
      </c>
      <c r="U35" s="164"/>
      <c r="V35" s="165">
        <f>IF(AND(V29&gt;T29,$AK8&gt;6,$AK7&gt;4,ISNUMBER(T29),ISNUMBER(V29)),1,0)</f>
        <v>0</v>
      </c>
      <c r="W35" s="164">
        <f>IF(AND(W29&gt;Y29,$AK8&gt;7,$AK7&gt;4,ISNUMBER(W29),ISNUMBER(Y29)),1,0)</f>
        <v>0</v>
      </c>
      <c r="X35" s="164"/>
      <c r="Y35" s="165">
        <f>IF(AND(Y29&gt;W29,$AK8&gt;7,$AK7&gt;4,ISNUMBER(W29),ISNUMBER(Y29)),1,0)</f>
        <v>0</v>
      </c>
      <c r="Z35" s="164">
        <f>IF(AND(Z29&gt;AB29,$AK8&gt;8,$AK7&gt;4,ISNUMBER(Z29),ISNUMBER(AB29)),1,0)</f>
        <v>0</v>
      </c>
      <c r="AA35" s="164"/>
      <c r="AB35" s="165">
        <f>IF(AND(AB29&gt;Z29,$AK8&gt;8,$AK7&gt;4,ISNUMBER(Z29),ISNUMBER(AB29)),1,0)</f>
        <v>0</v>
      </c>
      <c r="AC35" s="164">
        <f>IF(AND(AC29&gt;AE29,$AK8&gt;9,$AK7&gt;4,ISNUMBER(AC29),ISNUMBER(AE29)),1,0)</f>
        <v>0</v>
      </c>
      <c r="AD35" s="164"/>
      <c r="AE35" s="165">
        <f>IF(AND(AE29&gt;AC29,$AK8&gt;9,$AK7&gt;4,ISNUMBER(AC29),ISNUMBER(AE29)),1,0)</f>
        <v>0</v>
      </c>
      <c r="AT35" s="513"/>
      <c r="AU35" s="513"/>
      <c r="AV35" s="513"/>
      <c r="AW35" s="514"/>
      <c r="AX35" s="513"/>
      <c r="AY35" s="513"/>
    </row>
    <row r="36" spans="1:51" s="115" customFormat="1" ht="38.25" hidden="1" customHeight="1">
      <c r="A36" s="167" t="s">
        <v>206</v>
      </c>
      <c r="B36" s="115">
        <f>SUM(B31:B35)</f>
        <v>2</v>
      </c>
      <c r="D36" s="168">
        <f>SUM(D31:D35)</f>
        <v>0</v>
      </c>
      <c r="E36" s="115">
        <f>SUM(E31:E35)</f>
        <v>0</v>
      </c>
      <c r="G36" s="168">
        <f>SUM(G31:G35)</f>
        <v>2</v>
      </c>
      <c r="H36" s="115">
        <f>SUM(H31:H35)</f>
        <v>1</v>
      </c>
      <c r="J36" s="168">
        <f>SUM(J31:J35)</f>
        <v>1</v>
      </c>
      <c r="K36" s="115">
        <f>SUM(K31:K35)</f>
        <v>0</v>
      </c>
      <c r="M36" s="168">
        <f>SUM(M31:M35)</f>
        <v>0</v>
      </c>
      <c r="N36" s="115">
        <f>SUM(N31:N35)</f>
        <v>0</v>
      </c>
      <c r="P36" s="168">
        <f>SUM(P31:P35)</f>
        <v>0</v>
      </c>
      <c r="Q36" s="115">
        <f>SUM(Q31:Q35)</f>
        <v>0</v>
      </c>
      <c r="S36" s="168">
        <f>SUM(S31:S35)</f>
        <v>0</v>
      </c>
      <c r="T36" s="115">
        <f>SUM(T31:T35)</f>
        <v>0</v>
      </c>
      <c r="V36" s="168">
        <f>SUM(V31:V35)</f>
        <v>0</v>
      </c>
      <c r="W36" s="115">
        <f>SUM(W31:W35)</f>
        <v>0</v>
      </c>
      <c r="Y36" s="168">
        <f>SUM(Y31:Y35)</f>
        <v>0</v>
      </c>
      <c r="Z36" s="115">
        <f>SUM(Z31:Z35)</f>
        <v>0</v>
      </c>
      <c r="AB36" s="168">
        <f>SUM(AB31:AB35)</f>
        <v>0</v>
      </c>
      <c r="AC36" s="115">
        <f>SUM(AC31:AC35)</f>
        <v>0</v>
      </c>
      <c r="AE36" s="168">
        <f>SUM(AE31:AE35)</f>
        <v>0</v>
      </c>
      <c r="AT36" s="513"/>
      <c r="AU36" s="513"/>
      <c r="AV36" s="513"/>
      <c r="AW36" s="514"/>
      <c r="AX36" s="513"/>
      <c r="AY36" s="513"/>
    </row>
    <row r="37" spans="1:51" s="115" customFormat="1" ht="25.5" hidden="1" customHeight="1">
      <c r="A37" s="167" t="s">
        <v>207</v>
      </c>
      <c r="B37" s="115">
        <f>IF(B36&gt;D36,IF(C71=AK7,1,IF(C71=AK7-1,1,0)),0)</f>
        <v>1</v>
      </c>
      <c r="C37" s="115">
        <f>B37+D37</f>
        <v>1</v>
      </c>
      <c r="D37" s="168">
        <f>IF(D36&gt;B36,IF(C71=AK7,1,IF(C71=AK7-1,1,0)),0)</f>
        <v>0</v>
      </c>
      <c r="E37" s="115">
        <f>IF(E36&gt;G36,IF(F71=AK7,1,IF(F71=AK7-1,1,0)),0)</f>
        <v>0</v>
      </c>
      <c r="F37" s="115">
        <f>E37+G37</f>
        <v>1</v>
      </c>
      <c r="G37" s="168">
        <f>IF(G36&gt;E36,IF(F71=AK7,1,IF(F71=AK7-1,1,0)),0)</f>
        <v>1</v>
      </c>
      <c r="H37" s="115">
        <f>IF(H36&gt;J36,IF(I71=AK7,1,IF(I71=AK7-1,1,0)),0)</f>
        <v>0</v>
      </c>
      <c r="I37" s="115">
        <f>H37+J37</f>
        <v>0</v>
      </c>
      <c r="J37" s="168">
        <f>IF(J36&gt;H36,IF(I71=AK7,1,IF(I71=AK7-1,1,0)),0)</f>
        <v>0</v>
      </c>
      <c r="K37" s="115">
        <f>IF(K36&gt;M36,IF(L71=AK7,1,IF(L71=AK7-1,1,0)),0)</f>
        <v>0</v>
      </c>
      <c r="L37" s="115">
        <f>K37+M37</f>
        <v>0</v>
      </c>
      <c r="M37" s="168">
        <f>IF(M36&gt;K36,IF(L71=AK7,1,IF(L71=AK7-1,1,0)),0)</f>
        <v>0</v>
      </c>
      <c r="N37" s="115">
        <f>IF(N36&gt;P36,IF(O71=AK7,1,IF(O71=AK7-1,1,0)),0)</f>
        <v>0</v>
      </c>
      <c r="O37" s="115">
        <f>N37+P37</f>
        <v>0</v>
      </c>
      <c r="P37" s="168">
        <f>IF(P36&gt;N36,IF(O71=AK7,1,IF(O71=AK7-1,1,0)),0)</f>
        <v>0</v>
      </c>
      <c r="Q37" s="115">
        <f>IF(Q36&gt;S36,IF(R71=AK7,1,IF(R71=AK7-1,1,0)),0)</f>
        <v>0</v>
      </c>
      <c r="R37" s="115">
        <f>Q37+S37</f>
        <v>0</v>
      </c>
      <c r="S37" s="168">
        <f>IF(S36&gt;Q36,IF(R71=AK7,1,IF(R71=AK7-1,1,0)),0)</f>
        <v>0</v>
      </c>
      <c r="T37" s="115">
        <f>IF(T36&gt;V36,IF(U71=AK7,1,IF(U71=AK7-1,1,0)),0)</f>
        <v>0</v>
      </c>
      <c r="U37" s="115">
        <f>T37+V37</f>
        <v>0</v>
      </c>
      <c r="V37" s="168">
        <f>IF(V36&gt;T36,IF(U71=AK7,1,IF(U71=AK7-1,1,0)),0)</f>
        <v>0</v>
      </c>
      <c r="W37" s="115">
        <f>IF(W36&gt;Y36,IF(X71=AK7,1,IF(X71=AK7-1,1,0)),0)</f>
        <v>0</v>
      </c>
      <c r="X37" s="115">
        <f>W37+Y37</f>
        <v>0</v>
      </c>
      <c r="Y37" s="168">
        <f>IF(Y36&gt;W36,IF(X71=AK7,1,IF(X71=AK7-1,1,0)),0)</f>
        <v>0</v>
      </c>
      <c r="Z37" s="115">
        <f>IF(Z36&gt;AB36,IF(AA71=AK7,1,IF(AA71=AK7-1,1,0)),0)</f>
        <v>0</v>
      </c>
      <c r="AA37" s="115">
        <f>Z37+AB37</f>
        <v>0</v>
      </c>
      <c r="AB37" s="168">
        <f>IF(AB36&gt;Z36,IF(AA71=AK7,1,IF(AA71=AK7-1,1,0)),0)</f>
        <v>0</v>
      </c>
      <c r="AC37" s="115">
        <f>IF(AC36&gt;AE36,IF(AD71=AK7,1,IF(AD71=AK7-1,1,0)),0)</f>
        <v>0</v>
      </c>
      <c r="AD37" s="115">
        <f>AC37+AE37</f>
        <v>0</v>
      </c>
      <c r="AE37" s="168">
        <f>IF(AE36&gt;AC36,IF(AD71=AK7,1,IF(AD71=AK7-1,1,0)),0)</f>
        <v>0</v>
      </c>
      <c r="AT37" s="513"/>
      <c r="AU37" s="513"/>
      <c r="AV37" s="513"/>
      <c r="AW37" s="514"/>
      <c r="AX37" s="513"/>
      <c r="AY37" s="513"/>
    </row>
    <row r="38" spans="1:51" s="115" customFormat="1" ht="25.5" hidden="1" customHeight="1">
      <c r="A38" s="167"/>
      <c r="D38" s="168"/>
      <c r="G38" s="168"/>
      <c r="J38" s="168"/>
      <c r="M38" s="168"/>
      <c r="P38" s="168"/>
      <c r="S38" s="168"/>
      <c r="V38" s="168"/>
      <c r="Y38" s="168"/>
      <c r="AB38" s="168"/>
      <c r="AE38" s="168"/>
      <c r="AT38" s="513"/>
      <c r="AU38" s="513"/>
      <c r="AV38" s="513"/>
      <c r="AW38" s="514"/>
      <c r="AX38" s="513"/>
      <c r="AY38" s="513"/>
    </row>
    <row r="39" spans="1:51" s="115" customFormat="1" ht="12.75" hidden="1" customHeight="1">
      <c r="A39" s="115" t="s">
        <v>208</v>
      </c>
      <c r="B39" s="115">
        <f>IF(B31=1,B25,0)</f>
        <v>24</v>
      </c>
      <c r="D39" s="168">
        <f t="shared" ref="D39:E43" si="2">IF(D31=1,D25,0)</f>
        <v>0</v>
      </c>
      <c r="E39" s="115">
        <f t="shared" si="2"/>
        <v>0</v>
      </c>
      <c r="G39" s="168">
        <f t="shared" ref="G39:H43" si="3">IF(G31=1,G25,0)</f>
        <v>31</v>
      </c>
      <c r="H39" s="115">
        <f t="shared" si="3"/>
        <v>0</v>
      </c>
      <c r="J39" s="168">
        <f t="shared" ref="J39:K43" si="4">IF(J31=1,J25,0)</f>
        <v>20</v>
      </c>
      <c r="K39" s="115">
        <f t="shared" si="4"/>
        <v>0</v>
      </c>
      <c r="M39" s="168">
        <f t="shared" ref="M39:N43" si="5">IF(M31=1,M25,0)</f>
        <v>0</v>
      </c>
      <c r="N39" s="115">
        <f t="shared" si="5"/>
        <v>0</v>
      </c>
      <c r="P39" s="168">
        <f t="shared" ref="P39:Q43" si="6">IF(P31=1,P25,0)</f>
        <v>0</v>
      </c>
      <c r="Q39" s="115">
        <f t="shared" si="6"/>
        <v>0</v>
      </c>
      <c r="S39" s="168">
        <f t="shared" ref="S39:T43" si="7">IF(S31=1,S25,0)</f>
        <v>0</v>
      </c>
      <c r="T39" s="115">
        <f t="shared" si="7"/>
        <v>0</v>
      </c>
      <c r="V39" s="168">
        <f t="shared" ref="V39:W43" si="8">IF(V31=1,V25,0)</f>
        <v>0</v>
      </c>
      <c r="W39" s="115">
        <f t="shared" si="8"/>
        <v>0</v>
      </c>
      <c r="Y39" s="168">
        <f t="shared" ref="Y39:Z43" si="9">IF(Y31=1,Y25,0)</f>
        <v>0</v>
      </c>
      <c r="Z39" s="115">
        <f t="shared" si="9"/>
        <v>0</v>
      </c>
      <c r="AB39" s="168">
        <f t="shared" ref="AB39:AC43" si="10">IF(AB31=1,AB25,0)</f>
        <v>0</v>
      </c>
      <c r="AC39" s="115">
        <f t="shared" si="10"/>
        <v>0</v>
      </c>
      <c r="AE39" s="168">
        <f>IF(AE31=1,AE25,0)</f>
        <v>0</v>
      </c>
      <c r="AT39" s="513"/>
      <c r="AU39" s="513"/>
      <c r="AV39" s="513"/>
      <c r="AW39" s="514"/>
      <c r="AX39" s="513"/>
      <c r="AY39" s="513"/>
    </row>
    <row r="40" spans="1:51" s="115" customFormat="1" ht="12.75" hidden="1" customHeight="1">
      <c r="A40" s="115" t="s">
        <v>209</v>
      </c>
      <c r="B40" s="115">
        <f>IF(B32=1,B26,0)</f>
        <v>21</v>
      </c>
      <c r="D40" s="168">
        <f t="shared" si="2"/>
        <v>0</v>
      </c>
      <c r="E40" s="115">
        <f t="shared" si="2"/>
        <v>0</v>
      </c>
      <c r="G40" s="168">
        <f t="shared" si="3"/>
        <v>23</v>
      </c>
      <c r="H40" s="115">
        <f t="shared" si="3"/>
        <v>19</v>
      </c>
      <c r="J40" s="168">
        <f t="shared" si="4"/>
        <v>0</v>
      </c>
      <c r="K40" s="115">
        <f t="shared" si="4"/>
        <v>0</v>
      </c>
      <c r="M40" s="168">
        <f t="shared" si="5"/>
        <v>0</v>
      </c>
      <c r="N40" s="115">
        <f t="shared" si="5"/>
        <v>0</v>
      </c>
      <c r="P40" s="168">
        <f t="shared" si="6"/>
        <v>0</v>
      </c>
      <c r="Q40" s="115">
        <f t="shared" si="6"/>
        <v>0</v>
      </c>
      <c r="S40" s="168">
        <f t="shared" si="7"/>
        <v>0</v>
      </c>
      <c r="T40" s="115">
        <f t="shared" si="7"/>
        <v>0</v>
      </c>
      <c r="V40" s="168">
        <f t="shared" si="8"/>
        <v>0</v>
      </c>
      <c r="W40" s="115">
        <f t="shared" si="8"/>
        <v>0</v>
      </c>
      <c r="Y40" s="168">
        <f t="shared" si="9"/>
        <v>0</v>
      </c>
      <c r="Z40" s="115">
        <f t="shared" si="9"/>
        <v>0</v>
      </c>
      <c r="AB40" s="168">
        <f t="shared" si="10"/>
        <v>0</v>
      </c>
      <c r="AC40" s="115">
        <f t="shared" si="10"/>
        <v>0</v>
      </c>
      <c r="AE40" s="168">
        <f>IF(AE32=1,AE26,0)</f>
        <v>0</v>
      </c>
      <c r="AT40" s="513"/>
      <c r="AU40" s="513"/>
      <c r="AV40" s="513"/>
      <c r="AW40" s="514"/>
      <c r="AX40" s="513"/>
      <c r="AY40" s="513"/>
    </row>
    <row r="41" spans="1:51" s="115" customFormat="1" ht="12.75" hidden="1" customHeight="1">
      <c r="A41" s="115" t="s">
        <v>210</v>
      </c>
      <c r="B41" s="115">
        <f>IF(B33=1,B27,0)</f>
        <v>0</v>
      </c>
      <c r="D41" s="168">
        <f t="shared" si="2"/>
        <v>0</v>
      </c>
      <c r="E41" s="115">
        <f t="shared" si="2"/>
        <v>0</v>
      </c>
      <c r="G41" s="168">
        <f t="shared" si="3"/>
        <v>0</v>
      </c>
      <c r="H41" s="115">
        <f t="shared" si="3"/>
        <v>0</v>
      </c>
      <c r="J41" s="168">
        <f t="shared" si="4"/>
        <v>0</v>
      </c>
      <c r="K41" s="115">
        <f t="shared" si="4"/>
        <v>0</v>
      </c>
      <c r="M41" s="168">
        <f t="shared" si="5"/>
        <v>0</v>
      </c>
      <c r="N41" s="115">
        <f t="shared" si="5"/>
        <v>0</v>
      </c>
      <c r="P41" s="168">
        <f t="shared" si="6"/>
        <v>0</v>
      </c>
      <c r="Q41" s="115">
        <f t="shared" si="6"/>
        <v>0</v>
      </c>
      <c r="S41" s="168">
        <f t="shared" si="7"/>
        <v>0</v>
      </c>
      <c r="T41" s="115">
        <f t="shared" si="7"/>
        <v>0</v>
      </c>
      <c r="V41" s="168">
        <f t="shared" si="8"/>
        <v>0</v>
      </c>
      <c r="W41" s="115">
        <f t="shared" si="8"/>
        <v>0</v>
      </c>
      <c r="Y41" s="168">
        <f t="shared" si="9"/>
        <v>0</v>
      </c>
      <c r="Z41" s="115">
        <f t="shared" si="9"/>
        <v>0</v>
      </c>
      <c r="AB41" s="168">
        <f t="shared" si="10"/>
        <v>0</v>
      </c>
      <c r="AC41" s="115">
        <f t="shared" si="10"/>
        <v>0</v>
      </c>
      <c r="AE41" s="168">
        <f>IF(AE33=1,AE27,0)</f>
        <v>0</v>
      </c>
      <c r="AT41" s="513"/>
      <c r="AU41" s="513"/>
      <c r="AV41" s="513"/>
      <c r="AW41" s="514"/>
      <c r="AX41" s="513"/>
      <c r="AY41" s="513"/>
    </row>
    <row r="42" spans="1:51" s="115" customFormat="1" ht="12.75" hidden="1" customHeight="1">
      <c r="A42" s="115" t="s">
        <v>211</v>
      </c>
      <c r="B42" s="115">
        <f>IF(B34=1,B28,0)</f>
        <v>0</v>
      </c>
      <c r="D42" s="168">
        <f t="shared" si="2"/>
        <v>0</v>
      </c>
      <c r="E42" s="115">
        <f t="shared" si="2"/>
        <v>0</v>
      </c>
      <c r="G42" s="168">
        <f t="shared" si="3"/>
        <v>0</v>
      </c>
      <c r="H42" s="115">
        <f t="shared" si="3"/>
        <v>0</v>
      </c>
      <c r="J42" s="168">
        <f t="shared" si="4"/>
        <v>0</v>
      </c>
      <c r="K42" s="115">
        <f t="shared" si="4"/>
        <v>0</v>
      </c>
      <c r="M42" s="168">
        <f t="shared" si="5"/>
        <v>0</v>
      </c>
      <c r="N42" s="115">
        <f t="shared" si="5"/>
        <v>0</v>
      </c>
      <c r="P42" s="168">
        <f t="shared" si="6"/>
        <v>0</v>
      </c>
      <c r="Q42" s="115">
        <f t="shared" si="6"/>
        <v>0</v>
      </c>
      <c r="S42" s="168">
        <f t="shared" si="7"/>
        <v>0</v>
      </c>
      <c r="T42" s="115">
        <f t="shared" si="7"/>
        <v>0</v>
      </c>
      <c r="V42" s="168">
        <f t="shared" si="8"/>
        <v>0</v>
      </c>
      <c r="W42" s="115">
        <f t="shared" si="8"/>
        <v>0</v>
      </c>
      <c r="Y42" s="168">
        <f t="shared" si="9"/>
        <v>0</v>
      </c>
      <c r="Z42" s="115">
        <f t="shared" si="9"/>
        <v>0</v>
      </c>
      <c r="AB42" s="168">
        <f t="shared" si="10"/>
        <v>0</v>
      </c>
      <c r="AC42" s="115">
        <f t="shared" si="10"/>
        <v>0</v>
      </c>
      <c r="AE42" s="168">
        <f>IF(AE34=1,AE28,0)</f>
        <v>0</v>
      </c>
      <c r="AT42" s="513"/>
      <c r="AU42" s="513"/>
      <c r="AV42" s="513"/>
      <c r="AW42" s="514"/>
      <c r="AX42" s="513"/>
      <c r="AY42" s="513"/>
    </row>
    <row r="43" spans="1:51" s="115" customFormat="1" ht="12.75" hidden="1" customHeight="1">
      <c r="A43" s="115" t="s">
        <v>212</v>
      </c>
      <c r="B43" s="115">
        <f>IF(B35=1,B29,0)</f>
        <v>0</v>
      </c>
      <c r="D43" s="168">
        <f t="shared" si="2"/>
        <v>0</v>
      </c>
      <c r="E43" s="115">
        <f t="shared" si="2"/>
        <v>0</v>
      </c>
      <c r="G43" s="168">
        <f t="shared" si="3"/>
        <v>0</v>
      </c>
      <c r="H43" s="115">
        <f t="shared" si="3"/>
        <v>0</v>
      </c>
      <c r="J43" s="168">
        <f t="shared" si="4"/>
        <v>0</v>
      </c>
      <c r="K43" s="115">
        <f t="shared" si="4"/>
        <v>0</v>
      </c>
      <c r="M43" s="168">
        <f t="shared" si="5"/>
        <v>0</v>
      </c>
      <c r="N43" s="115">
        <f t="shared" si="5"/>
        <v>0</v>
      </c>
      <c r="P43" s="168">
        <f t="shared" si="6"/>
        <v>0</v>
      </c>
      <c r="Q43" s="115">
        <f t="shared" si="6"/>
        <v>0</v>
      </c>
      <c r="S43" s="168">
        <f t="shared" si="7"/>
        <v>0</v>
      </c>
      <c r="T43" s="115">
        <f t="shared" si="7"/>
        <v>0</v>
      </c>
      <c r="V43" s="168">
        <f t="shared" si="8"/>
        <v>0</v>
      </c>
      <c r="W43" s="115">
        <f t="shared" si="8"/>
        <v>0</v>
      </c>
      <c r="Y43" s="168">
        <f t="shared" si="9"/>
        <v>0</v>
      </c>
      <c r="Z43" s="115">
        <f t="shared" si="9"/>
        <v>0</v>
      </c>
      <c r="AB43" s="168">
        <f t="shared" si="10"/>
        <v>0</v>
      </c>
      <c r="AC43" s="115">
        <f t="shared" si="10"/>
        <v>0</v>
      </c>
      <c r="AE43" s="168">
        <f>IF(AE35=1,AE29,0)</f>
        <v>0</v>
      </c>
      <c r="AT43" s="513"/>
      <c r="AU43" s="513"/>
      <c r="AV43" s="513"/>
      <c r="AW43" s="514"/>
      <c r="AX43" s="513"/>
      <c r="AY43" s="513"/>
    </row>
    <row r="44" spans="1:51" s="115" customFormat="1" ht="38.25" hidden="1" customHeight="1">
      <c r="A44" s="167" t="s">
        <v>213</v>
      </c>
      <c r="B44" s="115">
        <f>SUM(B39:D43)</f>
        <v>45</v>
      </c>
      <c r="D44" s="168"/>
      <c r="E44" s="115">
        <f>SUM(E39:G43)</f>
        <v>54</v>
      </c>
      <c r="G44" s="168"/>
      <c r="H44" s="115">
        <f>SUM(H39:J43)</f>
        <v>39</v>
      </c>
      <c r="J44" s="168"/>
      <c r="K44" s="115">
        <f>SUM(K39:M43)</f>
        <v>0</v>
      </c>
      <c r="M44" s="168"/>
      <c r="N44" s="115">
        <f>SUM(N39:P43)</f>
        <v>0</v>
      </c>
      <c r="P44" s="168"/>
      <c r="Q44" s="115">
        <f>SUM(Q39:S43)</f>
        <v>0</v>
      </c>
      <c r="S44" s="168"/>
      <c r="T44" s="115">
        <f>SUM(T39:V43)</f>
        <v>0</v>
      </c>
      <c r="V44" s="168"/>
      <c r="W44" s="115">
        <f>SUM(W39:Y43)</f>
        <v>0</v>
      </c>
      <c r="Y44" s="168"/>
      <c r="Z44" s="115">
        <f>SUM(Z39:AB43)</f>
        <v>0</v>
      </c>
      <c r="AB44" s="168"/>
      <c r="AC44" s="115">
        <f>SUM(AC39:AE43)</f>
        <v>0</v>
      </c>
      <c r="AE44" s="168"/>
      <c r="AT44" s="513"/>
      <c r="AU44" s="513"/>
      <c r="AV44" s="513"/>
      <c r="AW44" s="514"/>
      <c r="AX44" s="513"/>
      <c r="AY44" s="513"/>
    </row>
    <row r="45" spans="1:51" s="115" customFormat="1" ht="38.25" hidden="1" customHeight="1">
      <c r="A45" s="115" t="s">
        <v>214</v>
      </c>
      <c r="D45" s="168"/>
      <c r="G45" s="168"/>
      <c r="J45" s="168"/>
      <c r="M45" s="168"/>
      <c r="P45" s="168"/>
      <c r="S45" s="168"/>
      <c r="V45" s="168"/>
      <c r="Y45" s="168"/>
      <c r="AB45" s="168"/>
      <c r="AE45" s="168"/>
      <c r="AF45" s="167" t="s">
        <v>215</v>
      </c>
      <c r="AG45" s="115" t="s">
        <v>216</v>
      </c>
      <c r="AT45" s="513"/>
      <c r="AU45" s="513"/>
      <c r="AV45" s="513"/>
      <c r="AW45" s="514"/>
      <c r="AX45" s="513"/>
      <c r="AY45" s="513"/>
    </row>
    <row r="46" spans="1:51" s="115" customFormat="1" ht="12.75" hidden="1" customHeight="1">
      <c r="A46" s="115" t="s">
        <v>38</v>
      </c>
      <c r="B46" s="115">
        <f>IF(B24=1,IF(B37=1,1,0),0)</f>
        <v>1</v>
      </c>
      <c r="D46" s="168">
        <f>IF(D24=1,IF(D37=1,1,0),0)</f>
        <v>0</v>
      </c>
      <c r="E46" s="115">
        <f>IF(E24=1,IF(E37=1,1,0),0)</f>
        <v>0</v>
      </c>
      <c r="G46" s="168">
        <f>IF(G24=1,IF(G37=1,1,0),0)</f>
        <v>0</v>
      </c>
      <c r="H46" s="115">
        <f>IF(H24=1,IF(H37=1,1,0),0)</f>
        <v>0</v>
      </c>
      <c r="J46" s="168">
        <f>IF(J24=1,IF(J37=1,1,0),0)</f>
        <v>0</v>
      </c>
      <c r="K46" s="115">
        <f>IF(K24=1,IF(K37=1,1,0),0)</f>
        <v>0</v>
      </c>
      <c r="M46" s="168">
        <f>IF(M24=1,IF(M37=1,1,0),0)</f>
        <v>0</v>
      </c>
      <c r="N46" s="115">
        <f>IF(N24=1,IF(N37=1,1,0),0)</f>
        <v>0</v>
      </c>
      <c r="P46" s="168">
        <f>IF(P24=1,IF(P37=1,1,0),0)</f>
        <v>0</v>
      </c>
      <c r="Q46" s="115">
        <f>IF(Q24=1,IF(Q37=1,1,0),0)</f>
        <v>0</v>
      </c>
      <c r="S46" s="168">
        <f>IF(S24=1,IF(S37=1,1,0),0)</f>
        <v>0</v>
      </c>
      <c r="T46" s="115">
        <f>IF(T24=1,IF(T37=1,1,0),0)</f>
        <v>0</v>
      </c>
      <c r="V46" s="168">
        <f>IF(V24=1,IF(V37=1,1,0),0)</f>
        <v>0</v>
      </c>
      <c r="W46" s="115">
        <f>IF(W24=1,IF(W37=1,1,0),0)</f>
        <v>0</v>
      </c>
      <c r="Y46" s="168">
        <f>IF(Y24=1,IF(Y37=1,1,0),0)</f>
        <v>0</v>
      </c>
      <c r="Z46" s="115">
        <f>IF(Z24=1,IF(Z37=1,1,0),0)</f>
        <v>0</v>
      </c>
      <c r="AB46" s="168">
        <f>IF(AB24=1,IF(AB37=1,1,0),0)</f>
        <v>0</v>
      </c>
      <c r="AC46" s="115">
        <f>IF(AC24=1,IF(AC37=1,1,0),0)</f>
        <v>0</v>
      </c>
      <c r="AE46" s="168">
        <f>IF(AE24=1,IF(AE37=1,1,0),0)</f>
        <v>0</v>
      </c>
      <c r="AF46" s="115">
        <f>SUM(B46:AE46)</f>
        <v>1</v>
      </c>
      <c r="AG46" s="115">
        <f>AF52-AF46</f>
        <v>0</v>
      </c>
      <c r="AT46" s="513"/>
      <c r="AU46" s="513"/>
      <c r="AV46" s="513"/>
      <c r="AW46" s="514"/>
      <c r="AX46" s="513"/>
      <c r="AY46" s="513"/>
    </row>
    <row r="47" spans="1:51" s="115" customFormat="1" ht="12.75" hidden="1" customHeight="1">
      <c r="A47" s="115" t="s">
        <v>39</v>
      </c>
      <c r="B47" s="115">
        <f>IF(B24=2,IF(B37=1,1,0),0)</f>
        <v>0</v>
      </c>
      <c r="D47" s="168">
        <f>IF(D24=2,IF(D37=1,1,0),0)</f>
        <v>0</v>
      </c>
      <c r="E47" s="115">
        <f>IF(E24=2,IF(E37=1,1,0),0)</f>
        <v>0</v>
      </c>
      <c r="G47" s="168">
        <f>IF(G24=2,IF(G37=1,1,0),0)</f>
        <v>0</v>
      </c>
      <c r="H47" s="115">
        <f>IF(H24=2,IF(H37=1,1,0),0)</f>
        <v>0</v>
      </c>
      <c r="J47" s="168">
        <f>IF(J24=2,IF(J37=1,1,0),0)</f>
        <v>0</v>
      </c>
      <c r="K47" s="115">
        <f>IF(K24=2,IF(K37=1,1,0),0)</f>
        <v>0</v>
      </c>
      <c r="M47" s="168">
        <f>IF(M24=2,IF(M37=1,1,0),0)</f>
        <v>0</v>
      </c>
      <c r="N47" s="115">
        <f>IF(N24=2,IF(N37=1,1,0),0)</f>
        <v>0</v>
      </c>
      <c r="P47" s="168">
        <f>IF(P24=2,IF(P37=1,1,0),0)</f>
        <v>0</v>
      </c>
      <c r="Q47" s="115">
        <f>IF(Q24=2,IF(Q37=1,1,0),0)</f>
        <v>0</v>
      </c>
      <c r="S47" s="168">
        <f>IF(S24=2,IF(S37=1,1,0),0)</f>
        <v>0</v>
      </c>
      <c r="T47" s="115">
        <f>IF(T24=2,IF(T37=1,1,0),0)</f>
        <v>0</v>
      </c>
      <c r="V47" s="168">
        <f>IF(V24=2,IF(V37=1,1,0),0)</f>
        <v>0</v>
      </c>
      <c r="W47" s="115">
        <f>IF(W24=2,IF(W37=1,1,0),0)</f>
        <v>0</v>
      </c>
      <c r="Y47" s="168">
        <f>IF(Y24=2,IF(Y37=1,1,0),0)</f>
        <v>0</v>
      </c>
      <c r="Z47" s="115">
        <f>IF(Z24=2,IF(Z37=1,1,0),0)</f>
        <v>0</v>
      </c>
      <c r="AB47" s="168">
        <f>IF(AB24=2,IF(AB37=1,1,0),0)</f>
        <v>0</v>
      </c>
      <c r="AC47" s="115">
        <f>IF(AC24=2,IF(AC37=1,1,0),0)</f>
        <v>0</v>
      </c>
      <c r="AE47" s="168">
        <f>IF(AE24=2,IF(AE37=1,1,0),0)</f>
        <v>0</v>
      </c>
      <c r="AF47" s="115">
        <f>SUM(B47:AE47)</f>
        <v>0</v>
      </c>
      <c r="AG47" s="115">
        <f>AF53-AF47</f>
        <v>2</v>
      </c>
      <c r="AT47" s="513"/>
      <c r="AU47" s="513"/>
      <c r="AV47" s="513"/>
      <c r="AW47" s="514"/>
      <c r="AX47" s="513"/>
      <c r="AY47" s="513"/>
    </row>
    <row r="48" spans="1:51" s="115" customFormat="1" ht="12.75" hidden="1" customHeight="1">
      <c r="A48" s="115" t="s">
        <v>40</v>
      </c>
      <c r="B48" s="115">
        <f>IF(B24=3,IF(B37=1,1,0),0)</f>
        <v>0</v>
      </c>
      <c r="D48" s="168">
        <f>IF(D24=3,IF(D37=1,1,0),0)</f>
        <v>0</v>
      </c>
      <c r="E48" s="115">
        <f>IF(E24=3,IF(E37=1,1,0),0)</f>
        <v>0</v>
      </c>
      <c r="G48" s="168">
        <f>IF(G24=3,IF(G37=1,1,0),0)</f>
        <v>1</v>
      </c>
      <c r="H48" s="115">
        <f>IF(H24=3,IF(H37=1,1,0),0)</f>
        <v>0</v>
      </c>
      <c r="J48" s="168">
        <f>IF(J24=3,IF(J37=1,1,0),0)</f>
        <v>0</v>
      </c>
      <c r="K48" s="115">
        <f>IF(K24=3,IF(K37=1,1,0),0)</f>
        <v>0</v>
      </c>
      <c r="M48" s="168">
        <f>IF(M24=3,IF(M37=1,1,0),0)</f>
        <v>0</v>
      </c>
      <c r="N48" s="115">
        <f>IF(N24=3,IF(N37=1,1,0),0)</f>
        <v>0</v>
      </c>
      <c r="P48" s="168">
        <f>IF(P24=3,IF(P37=1,1,0),0)</f>
        <v>0</v>
      </c>
      <c r="Q48" s="115">
        <f>IF(Q24=3,IF(Q37=1,1,0),0)</f>
        <v>0</v>
      </c>
      <c r="S48" s="168">
        <f>IF(S24=3,IF(S37=1,1,0),0)</f>
        <v>0</v>
      </c>
      <c r="T48" s="115">
        <f>IF(T24=3,IF(T37=1,1,0),0)</f>
        <v>0</v>
      </c>
      <c r="V48" s="168">
        <f>IF(V24=3,IF(V37=1,1,0),0)</f>
        <v>0</v>
      </c>
      <c r="W48" s="115">
        <f>IF(W24=3,IF(W37=1,1,0),0)</f>
        <v>0</v>
      </c>
      <c r="Y48" s="168">
        <f>IF(Y24=3,IF(Y37=1,1,0),0)</f>
        <v>0</v>
      </c>
      <c r="Z48" s="115">
        <f>IF(Z24=3,IF(Z37=1,1,0),0)</f>
        <v>0</v>
      </c>
      <c r="AB48" s="168">
        <f>IF(AB24=3,IF(AB37=1,1,0),0)</f>
        <v>0</v>
      </c>
      <c r="AC48" s="115">
        <f>IF(AC24=3,IF(AC37=1,1,0),0)</f>
        <v>0</v>
      </c>
      <c r="AE48" s="168">
        <f>IF(AE24=3,IF(AE37=1,1,0),0)</f>
        <v>0</v>
      </c>
      <c r="AF48" s="115">
        <f>SUM(B48:AE48)</f>
        <v>1</v>
      </c>
      <c r="AG48" s="115">
        <f>AF54-AF48</f>
        <v>0</v>
      </c>
      <c r="AT48" s="513"/>
      <c r="AU48" s="513"/>
      <c r="AV48" s="513"/>
      <c r="AW48" s="514"/>
      <c r="AX48" s="513"/>
      <c r="AY48" s="513"/>
    </row>
    <row r="49" spans="1:51" s="115" customFormat="1" ht="12.75" hidden="1" customHeight="1">
      <c r="A49" s="115" t="s">
        <v>41</v>
      </c>
      <c r="B49" s="115">
        <f>IF(B24=4,IF(B37=1,1,0),0)</f>
        <v>0</v>
      </c>
      <c r="D49" s="168">
        <f>IF(D24=4,IF(D37=1,1,0),0)</f>
        <v>0</v>
      </c>
      <c r="E49" s="115">
        <f>IF(E24=4,IF(E37=1,1,0),0)</f>
        <v>0</v>
      </c>
      <c r="G49" s="168">
        <f>IF(G24=4,IF(G37=1,1,0),0)</f>
        <v>0</v>
      </c>
      <c r="H49" s="115">
        <f>IF(H24=4,IF(H37=1,1,0),0)</f>
        <v>0</v>
      </c>
      <c r="J49" s="168">
        <f>IF(J24=4,IF(J37=1,1,0),0)</f>
        <v>0</v>
      </c>
      <c r="K49" s="115">
        <f>IF(K24=4,IF(K37=1,1,0),0)</f>
        <v>0</v>
      </c>
      <c r="M49" s="168">
        <f>IF(M24=4,IF(M37=1,1,0),0)</f>
        <v>0</v>
      </c>
      <c r="N49" s="115">
        <f>IF(N24=4,IF(N37=1,1,0),0)</f>
        <v>0</v>
      </c>
      <c r="P49" s="168">
        <f>IF(P24=4,IF(P37=1,1,0),0)</f>
        <v>0</v>
      </c>
      <c r="Q49" s="115">
        <f>IF(Q24=4,IF(Q37=1,1,0),0)</f>
        <v>0</v>
      </c>
      <c r="S49" s="168">
        <f>IF(S24=4,IF(S37=1,1,0),0)</f>
        <v>0</v>
      </c>
      <c r="T49" s="115">
        <f>IF(T24=4,IF(T37=1,1,0),0)</f>
        <v>0</v>
      </c>
      <c r="V49" s="168">
        <f>IF(V24=4,IF(V37=1,1,0),0)</f>
        <v>0</v>
      </c>
      <c r="W49" s="115">
        <f>IF(W24=4,IF(W37=1,1,0),0)</f>
        <v>0</v>
      </c>
      <c r="Y49" s="168">
        <f>IF(Y24=4,IF(Y37=1,1,0),0)</f>
        <v>0</v>
      </c>
      <c r="Z49" s="115">
        <f>IF(Z24=4,IF(Z37=1,1,0),0)</f>
        <v>0</v>
      </c>
      <c r="AB49" s="168">
        <f>IF(AB24=4,IF(AB37=1,1,0),0)</f>
        <v>0</v>
      </c>
      <c r="AC49" s="115">
        <f>IF(AC24=4,IF(AC37=1,1,0),0)</f>
        <v>0</v>
      </c>
      <c r="AE49" s="168">
        <f>IF(AE24=4,IF(AE37=1,1,0),0)</f>
        <v>0</v>
      </c>
      <c r="AF49" s="115">
        <f>SUM(B49:AE49)</f>
        <v>0</v>
      </c>
      <c r="AG49" s="115">
        <f>AF55-AF49</f>
        <v>0</v>
      </c>
      <c r="AT49" s="513"/>
      <c r="AU49" s="513"/>
      <c r="AV49" s="513"/>
      <c r="AW49" s="514"/>
      <c r="AX49" s="513"/>
      <c r="AY49" s="513"/>
    </row>
    <row r="50" spans="1:51" s="115" customFormat="1" ht="12.75" hidden="1" customHeight="1">
      <c r="A50" s="115" t="s">
        <v>42</v>
      </c>
      <c r="B50" s="115">
        <f>IF(B24=5,IF(B37=1,1,0),0)</f>
        <v>0</v>
      </c>
      <c r="D50" s="168">
        <f>IF(D24=5,IF(D37=1,1,0),0)</f>
        <v>0</v>
      </c>
      <c r="E50" s="115">
        <f>IF(E24=5,IF(E37=1,1,0),0)</f>
        <v>0</v>
      </c>
      <c r="G50" s="168">
        <f>IF(G24=5,IF(G37=1,1,0),0)</f>
        <v>0</v>
      </c>
      <c r="H50" s="115">
        <f>IF(H24=5,IF(H37=1,1,0),0)</f>
        <v>0</v>
      </c>
      <c r="J50" s="168">
        <f>IF(J24=5,IF(J37=1,1,0),0)</f>
        <v>0</v>
      </c>
      <c r="K50" s="115">
        <f>IF(K24=5,IF(K37=1,1,0),0)</f>
        <v>0</v>
      </c>
      <c r="M50" s="168">
        <f>IF(M24=5,IF(M37=1,1,0),0)</f>
        <v>0</v>
      </c>
      <c r="N50" s="115">
        <f>IF(N24=5,IF(N37=1,1,0),0)</f>
        <v>0</v>
      </c>
      <c r="P50" s="168">
        <f>IF(P24=5,IF(P37=1,1,0),0)</f>
        <v>0</v>
      </c>
      <c r="Q50" s="115">
        <f>IF(Q24=5,IF(Q37=1,1,0),0)</f>
        <v>0</v>
      </c>
      <c r="S50" s="168">
        <f>IF(S24=5,IF(S37=1,1,0),0)</f>
        <v>0</v>
      </c>
      <c r="T50" s="115">
        <f>IF(T24=5,IF(T37=1,1,0),0)</f>
        <v>0</v>
      </c>
      <c r="V50" s="168">
        <f>IF(V24=5,IF(V37=1,1,0),0)</f>
        <v>0</v>
      </c>
      <c r="W50" s="115">
        <f>IF(W24=5,IF(W37=1,1,0),0)</f>
        <v>0</v>
      </c>
      <c r="Y50" s="168">
        <f>IF(Y24=5,IF(Y37=1,1,0),0)</f>
        <v>0</v>
      </c>
      <c r="Z50" s="115">
        <f>IF(Z24=5,IF(Z37=1,1,0),0)</f>
        <v>0</v>
      </c>
      <c r="AB50" s="168">
        <f>IF(AB24=5,IF(AB37=1,1,0),0)</f>
        <v>0</v>
      </c>
      <c r="AC50" s="115">
        <f>IF(AC24=5,IF(AC37=1,1,0),0)</f>
        <v>0</v>
      </c>
      <c r="AE50" s="168">
        <f>IF(AE24=5,IF(AE37=1,1,0),0)</f>
        <v>0</v>
      </c>
      <c r="AF50" s="115">
        <f>SUM(B50:AE50)</f>
        <v>0</v>
      </c>
      <c r="AG50" s="115">
        <f>AF56-AF50</f>
        <v>0</v>
      </c>
      <c r="AT50" s="513"/>
      <c r="AU50" s="513"/>
      <c r="AV50" s="513"/>
      <c r="AW50" s="514"/>
      <c r="AX50" s="513"/>
      <c r="AY50" s="513"/>
    </row>
    <row r="51" spans="1:51" s="115" customFormat="1" ht="38.25" hidden="1" customHeight="1">
      <c r="A51" s="167"/>
      <c r="D51" s="168"/>
      <c r="G51" s="168"/>
      <c r="J51" s="168"/>
      <c r="M51" s="168"/>
      <c r="P51" s="168"/>
      <c r="S51" s="168"/>
      <c r="V51" s="168"/>
      <c r="Y51" s="168"/>
      <c r="AB51" s="168"/>
      <c r="AE51" s="168"/>
      <c r="AF51" s="167" t="s">
        <v>217</v>
      </c>
      <c r="AT51" s="513"/>
      <c r="AU51" s="513"/>
      <c r="AV51" s="513"/>
      <c r="AW51" s="514"/>
      <c r="AX51" s="513"/>
      <c r="AY51" s="513"/>
    </row>
    <row r="52" spans="1:51" s="115" customFormat="1" ht="12.75" hidden="1" customHeight="1">
      <c r="A52" s="115" t="s">
        <v>43</v>
      </c>
      <c r="B52" s="115">
        <f>IF(B24=1,IF(C37=1,1,0),0)</f>
        <v>1</v>
      </c>
      <c r="D52" s="168">
        <f>IF(D24=1,IF(C37=1,1,0),0)</f>
        <v>0</v>
      </c>
      <c r="E52" s="115">
        <f>IF(E24=1,IF(F37=1,1,0),0)</f>
        <v>0</v>
      </c>
      <c r="G52" s="168">
        <f>IF(G24=1,IF(F37=1,1,0),0)</f>
        <v>0</v>
      </c>
      <c r="H52" s="115">
        <f>IF(H24=1,IF(I37=1,1,0),0)</f>
        <v>0</v>
      </c>
      <c r="J52" s="168">
        <f>IF(J24=1,IF(I37=1,1,0),0)</f>
        <v>0</v>
      </c>
      <c r="K52" s="115">
        <f>IF(K24=1,IF(L37=1,1,0),0)</f>
        <v>0</v>
      </c>
      <c r="M52" s="168">
        <f>IF(M24=1,IF(L37=1,1,0),0)</f>
        <v>0</v>
      </c>
      <c r="N52" s="115">
        <f>IF(N24=1,IF(O37=1,1,0),0)</f>
        <v>0</v>
      </c>
      <c r="P52" s="168">
        <f>IF(P24=1,IF(O37=1,1,0),0)</f>
        <v>0</v>
      </c>
      <c r="Q52" s="115">
        <f>IF(Q24=1,IF(R37=1,1,0),0)</f>
        <v>0</v>
      </c>
      <c r="S52" s="168">
        <f>IF(S24=1,IF(R37=1,1,0),0)</f>
        <v>0</v>
      </c>
      <c r="T52" s="115">
        <f>IF(T24=1,IF(U37=1,1,0),0)</f>
        <v>0</v>
      </c>
      <c r="V52" s="168">
        <f>IF(V24=1,IF(U37=1,1,0),0)</f>
        <v>0</v>
      </c>
      <c r="W52" s="115">
        <f>IF(W24=1,IF(X37=1,1,0),0)</f>
        <v>0</v>
      </c>
      <c r="Y52" s="168">
        <f>IF(Y24=1,IF(X37=1,1,0),0)</f>
        <v>0</v>
      </c>
      <c r="Z52" s="115">
        <f>IF(Z24=1,IF(AA37=1,1,0),0)</f>
        <v>0</v>
      </c>
      <c r="AB52" s="168">
        <f>IF(AB24=1,IF(AA37=1,1,0),0)</f>
        <v>0</v>
      </c>
      <c r="AC52" s="115">
        <f>IF(AC24=1,IF(AD37=1,1,0),0)</f>
        <v>0</v>
      </c>
      <c r="AE52" s="168">
        <f>IF(AE24=1,IF(AD37=1,1,0),0)</f>
        <v>0</v>
      </c>
      <c r="AF52" s="115">
        <f>SUM(B52:AE52)</f>
        <v>1</v>
      </c>
      <c r="AT52" s="513"/>
      <c r="AU52" s="513"/>
      <c r="AV52" s="513"/>
      <c r="AW52" s="514"/>
      <c r="AX52" s="513"/>
      <c r="AY52" s="513"/>
    </row>
    <row r="53" spans="1:51" s="115" customFormat="1" ht="12.75" hidden="1" customHeight="1">
      <c r="A53" s="115" t="s">
        <v>44</v>
      </c>
      <c r="B53" s="115">
        <f>IF(B24=2,IF(C37=1,1,0),0)</f>
        <v>0</v>
      </c>
      <c r="D53" s="168">
        <f>IF(D24=2,IF(C37=1,1,0),0)</f>
        <v>1</v>
      </c>
      <c r="E53" s="115">
        <f>IF(E24=2,IF(F37=1,1,0),0)</f>
        <v>1</v>
      </c>
      <c r="G53" s="168">
        <f>IF(G24=2,IF(F37=1,1,0),0)</f>
        <v>0</v>
      </c>
      <c r="H53" s="115">
        <f>IF(H24=2,IF(I37=1,1,0),0)</f>
        <v>0</v>
      </c>
      <c r="J53" s="168">
        <f>IF(J24=2,IF(I37=1,1,0),0)</f>
        <v>0</v>
      </c>
      <c r="K53" s="115">
        <f>IF(K24=2,IF(L37=1,1,0),0)</f>
        <v>0</v>
      </c>
      <c r="M53" s="168">
        <f>IF(M24=2,IF(L37=1,1,0),0)</f>
        <v>0</v>
      </c>
      <c r="N53" s="115">
        <f>IF(N24=2,IF(O37=1,1,0),0)</f>
        <v>0</v>
      </c>
      <c r="P53" s="168">
        <f>IF(P24=2,IF(O37=1,1,0),0)</f>
        <v>0</v>
      </c>
      <c r="Q53" s="115">
        <f>IF(Q24=2,IF(R37=1,1,0),0)</f>
        <v>0</v>
      </c>
      <c r="S53" s="168">
        <f>IF(S24=2,IF(R37=1,1,0),0)</f>
        <v>0</v>
      </c>
      <c r="T53" s="115">
        <f>IF(T24=2,IF(U37=1,1,0),0)</f>
        <v>0</v>
      </c>
      <c r="V53" s="168">
        <f>IF(V24=2,IF(U37=1,1,0),0)</f>
        <v>0</v>
      </c>
      <c r="W53" s="115">
        <f>IF(W24=2,IF(X37=1,1,0),0)</f>
        <v>0</v>
      </c>
      <c r="Y53" s="168">
        <f>IF(Y24=2,IF(X37=1,1,0),0)</f>
        <v>0</v>
      </c>
      <c r="Z53" s="115">
        <f>IF(Z24=2,IF(AA37=1,1,0),0)</f>
        <v>0</v>
      </c>
      <c r="AB53" s="168">
        <f>IF(AB24=2,IF(AA37=1,1,0),0)</f>
        <v>0</v>
      </c>
      <c r="AC53" s="115">
        <f>IF(AC24=2,IF(AD37=1,1,0),0)</f>
        <v>0</v>
      </c>
      <c r="AE53" s="168">
        <f>IF(AE24=2,IF(AD37=1,1,0),0)</f>
        <v>0</v>
      </c>
      <c r="AF53" s="115">
        <f>SUM(B53:AE53)</f>
        <v>2</v>
      </c>
      <c r="AT53" s="513"/>
      <c r="AU53" s="513"/>
      <c r="AV53" s="513"/>
      <c r="AW53" s="514"/>
      <c r="AX53" s="513"/>
      <c r="AY53" s="513"/>
    </row>
    <row r="54" spans="1:51" s="115" customFormat="1" ht="12.75" hidden="1" customHeight="1">
      <c r="A54" s="115" t="s">
        <v>45</v>
      </c>
      <c r="B54" s="115">
        <f>IF(B24=3,IF(C37=1,1,0),0)</f>
        <v>0</v>
      </c>
      <c r="D54" s="168">
        <f>IF(D24=3,IF(C37=1,1,0),0)</f>
        <v>0</v>
      </c>
      <c r="E54" s="115">
        <f>IF(E24=3,IF(F37=1,1,0),0)</f>
        <v>0</v>
      </c>
      <c r="G54" s="168">
        <f>IF(G24=3,IF(F37=1,1,0),0)</f>
        <v>1</v>
      </c>
      <c r="H54" s="115">
        <f>IF(H24=3,IF(I37=1,1,0),0)</f>
        <v>0</v>
      </c>
      <c r="J54" s="168">
        <f>IF(J24=3,IF(I37=1,1,0),0)</f>
        <v>0</v>
      </c>
      <c r="K54" s="115">
        <f>IF(K24=3,IF(L37=1,1,0),0)</f>
        <v>0</v>
      </c>
      <c r="M54" s="168">
        <f>IF(M24=3,IF(L37=1,1,0),0)</f>
        <v>0</v>
      </c>
      <c r="N54" s="115">
        <f>IF(N24=3,IF(O37=1,1,0),0)</f>
        <v>0</v>
      </c>
      <c r="P54" s="168">
        <f>IF(P24=3,IF(O37=1,1,0),0)</f>
        <v>0</v>
      </c>
      <c r="Q54" s="115">
        <f>IF(Q24=3,IF(R37=1,1,0),0)</f>
        <v>0</v>
      </c>
      <c r="S54" s="168">
        <f>IF(S24=3,IF(R37=1,1,0),0)</f>
        <v>0</v>
      </c>
      <c r="T54" s="115">
        <f>IF(T24=3,IF(U37=1,1,0),0)</f>
        <v>0</v>
      </c>
      <c r="V54" s="168">
        <f>IF(V24=3,IF(U37=1,1,0),0)</f>
        <v>0</v>
      </c>
      <c r="W54" s="115">
        <f>IF(W24=3,IF(X37=1,1,0),0)</f>
        <v>0</v>
      </c>
      <c r="Y54" s="168">
        <f>IF(Y24=3,IF(X37=1,1,0),0)</f>
        <v>0</v>
      </c>
      <c r="Z54" s="115">
        <f>IF(Z24=3,IF(AA37=1,1,0),0)</f>
        <v>0</v>
      </c>
      <c r="AB54" s="168">
        <f>IF(AB24=3,IF(AA37=1,1,0),0)</f>
        <v>0</v>
      </c>
      <c r="AC54" s="115">
        <f>IF(AC24=3,IF(AD37=1,1,0),0)</f>
        <v>0</v>
      </c>
      <c r="AE54" s="168">
        <f>IF(AE24=3,IF(AD37=1,1,0),0)</f>
        <v>0</v>
      </c>
      <c r="AF54" s="115">
        <f>SUM(B54:AE54)</f>
        <v>1</v>
      </c>
      <c r="AT54" s="513"/>
      <c r="AU54" s="513"/>
      <c r="AV54" s="513"/>
      <c r="AW54" s="514"/>
      <c r="AX54" s="513"/>
      <c r="AY54" s="513"/>
    </row>
    <row r="55" spans="1:51" s="115" customFormat="1" ht="12.75" hidden="1" customHeight="1">
      <c r="A55" s="115" t="s">
        <v>46</v>
      </c>
      <c r="B55" s="115">
        <f>IF(B24=4,IF(C37=1,1,0),0)</f>
        <v>0</v>
      </c>
      <c r="D55" s="168">
        <f>IF(D24=4,IF(C37=1,1,0),0)</f>
        <v>0</v>
      </c>
      <c r="E55" s="115">
        <f>IF(E24=4,IF(F37=1,1,0),0)</f>
        <v>0</v>
      </c>
      <c r="G55" s="168">
        <f>IF(G24=4,IF(F37=1,1,0),0)</f>
        <v>0</v>
      </c>
      <c r="H55" s="115">
        <f>IF(H24=4,IF(I37=1,1,0),0)</f>
        <v>0</v>
      </c>
      <c r="J55" s="168">
        <f>IF(J24=4,IF(I37=1,1,0),0)</f>
        <v>0</v>
      </c>
      <c r="K55" s="115">
        <f>IF(K24=4,IF(L37=1,1,0),0)</f>
        <v>0</v>
      </c>
      <c r="M55" s="168">
        <f>IF(M24=4,IF(L37=1,1,0),0)</f>
        <v>0</v>
      </c>
      <c r="N55" s="115">
        <f>IF(N24=4,IF(O37=1,1,0),0)</f>
        <v>0</v>
      </c>
      <c r="P55" s="168">
        <f>IF(P24=4,IF(O37=1,1,0),0)</f>
        <v>0</v>
      </c>
      <c r="Q55" s="115">
        <f>IF(Q24=4,IF(R37=1,1,0),0)</f>
        <v>0</v>
      </c>
      <c r="S55" s="168">
        <f>IF(S24=4,IF(R37=1,1,0),0)</f>
        <v>0</v>
      </c>
      <c r="T55" s="115">
        <f>IF(T24=4,IF(U37=1,1,0),0)</f>
        <v>0</v>
      </c>
      <c r="V55" s="168">
        <f>IF(V24=4,IF(U37=1,1,0),0)</f>
        <v>0</v>
      </c>
      <c r="W55" s="115">
        <f>IF(W24=4,IF(X37=1,1,0),0)</f>
        <v>0</v>
      </c>
      <c r="Y55" s="168">
        <f>IF(Y24=4,IF(X37=1,1,0),0)</f>
        <v>0</v>
      </c>
      <c r="Z55" s="115">
        <f>IF(Z24=4,IF(AA37=1,1,0),0)</f>
        <v>0</v>
      </c>
      <c r="AB55" s="168">
        <f>IF(AB24=4,IF(AA37=1,1,0),0)</f>
        <v>0</v>
      </c>
      <c r="AC55" s="115">
        <f>IF(AC24=4,IF(AD37=1,1,0),0)</f>
        <v>0</v>
      </c>
      <c r="AE55" s="168">
        <f>IF(AE24=4,IF(AD37=1,1,0),0)</f>
        <v>0</v>
      </c>
      <c r="AF55" s="115">
        <f>SUM(B55:AE55)</f>
        <v>0</v>
      </c>
      <c r="AT55" s="513"/>
      <c r="AU55" s="513"/>
      <c r="AV55" s="513"/>
      <c r="AW55" s="514"/>
      <c r="AX55" s="513"/>
      <c r="AY55" s="513"/>
    </row>
    <row r="56" spans="1:51" s="115" customFormat="1" ht="12.75" hidden="1" customHeight="1">
      <c r="A56" s="115" t="s">
        <v>47</v>
      </c>
      <c r="B56" s="115">
        <f>IF(B24=5,IF(C37=1,1,0),0)</f>
        <v>0</v>
      </c>
      <c r="D56" s="168">
        <f>IF(D24=5,IF(C37=1,1,0),0)</f>
        <v>0</v>
      </c>
      <c r="E56" s="115">
        <f>IF(E24=5,IF(F37=1,1,0),0)</f>
        <v>0</v>
      </c>
      <c r="G56" s="168">
        <f>IF(G24=5,IF(F37=1,1,0),0)</f>
        <v>0</v>
      </c>
      <c r="H56" s="115">
        <f>IF(H24=5,IF(I37=1,1,0),0)</f>
        <v>0</v>
      </c>
      <c r="J56" s="168">
        <f>IF(J24=5,IF(I37=1,1,0),0)</f>
        <v>0</v>
      </c>
      <c r="K56" s="115">
        <f>IF(K24=5,IF(L37=1,1,0),0)</f>
        <v>0</v>
      </c>
      <c r="M56" s="168">
        <f>IF(M24=5,IF(L37=1,1,0),0)</f>
        <v>0</v>
      </c>
      <c r="N56" s="115">
        <f>IF(N24=5,IF(O37=1,1,0),0)</f>
        <v>0</v>
      </c>
      <c r="P56" s="168">
        <f>IF(P24=5,IF(O37=1,1,0),0)</f>
        <v>0</v>
      </c>
      <c r="Q56" s="115">
        <f>IF(Q24=5,IF(R37=1,1,0),0)</f>
        <v>0</v>
      </c>
      <c r="S56" s="168">
        <f>IF(S24=5,IF(R37=1,1,0),0)</f>
        <v>0</v>
      </c>
      <c r="T56" s="115">
        <f>IF(T24=5,IF(U37=1,1,0),0)</f>
        <v>0</v>
      </c>
      <c r="V56" s="168">
        <f>IF(V24=5,IF(U37=1,1,0),0)</f>
        <v>0</v>
      </c>
      <c r="W56" s="115">
        <f>IF(W24=5,IF(X37=1,1,0),0)</f>
        <v>0</v>
      </c>
      <c r="Y56" s="168">
        <f>IF(Y24=5,IF(X37=1,1,0),0)</f>
        <v>0</v>
      </c>
      <c r="Z56" s="115">
        <f>IF(Z24=5,IF(AA37=1,1,0),0)</f>
        <v>0</v>
      </c>
      <c r="AB56" s="168">
        <f>IF(AB24=5,IF(AA37=1,1,0),0)</f>
        <v>0</v>
      </c>
      <c r="AC56" s="115">
        <f>IF(AC24=5,IF(AD37=1,1,0),0)</f>
        <v>0</v>
      </c>
      <c r="AE56" s="168">
        <f>IF(AE24=5,IF(AD37=1,1,0),0)</f>
        <v>0</v>
      </c>
      <c r="AF56" s="115">
        <f>SUM(B56:AE56)</f>
        <v>0</v>
      </c>
      <c r="AT56" s="513"/>
      <c r="AU56" s="513"/>
      <c r="AV56" s="513"/>
      <c r="AW56" s="514"/>
      <c r="AX56" s="513"/>
      <c r="AY56" s="513"/>
    </row>
    <row r="57" spans="1:51" s="115" customFormat="1" ht="38.25" hidden="1" customHeight="1">
      <c r="A57" s="167"/>
      <c r="D57" s="168"/>
      <c r="G57" s="168"/>
      <c r="J57" s="168"/>
      <c r="M57" s="168"/>
      <c r="P57" s="168"/>
      <c r="S57" s="168"/>
      <c r="V57" s="168"/>
      <c r="Y57" s="168"/>
      <c r="AB57" s="168"/>
      <c r="AE57" s="168"/>
      <c r="AF57" s="167" t="s">
        <v>218</v>
      </c>
      <c r="AG57" s="392"/>
      <c r="AH57" s="392"/>
      <c r="AI57" s="392"/>
      <c r="AJ57" s="392"/>
      <c r="AK57" s="392"/>
      <c r="AT57" s="513"/>
      <c r="AU57" s="513"/>
      <c r="AV57" s="513"/>
      <c r="AW57" s="514"/>
      <c r="AX57" s="513"/>
      <c r="AY57" s="513"/>
    </row>
    <row r="58" spans="1:51" s="115" customFormat="1" ht="12.75" hidden="1" customHeight="1">
      <c r="A58" s="115" t="s">
        <v>43</v>
      </c>
      <c r="B58" s="115">
        <f>IF(B24=1,B44,0)</f>
        <v>45</v>
      </c>
      <c r="D58" s="168">
        <f>IF(D24=1,B44,0)</f>
        <v>0</v>
      </c>
      <c r="E58" s="115">
        <f>IF(E24=1,E44,0)</f>
        <v>0</v>
      </c>
      <c r="G58" s="168">
        <f>IF(G24=1,E44,0)</f>
        <v>0</v>
      </c>
      <c r="H58" s="115">
        <f>IF(H24=1,H44,0)</f>
        <v>39</v>
      </c>
      <c r="J58" s="168">
        <f>IF(J24=1,H44,0)</f>
        <v>0</v>
      </c>
      <c r="K58" s="115">
        <f>IF(K24=1,K44,0)</f>
        <v>0</v>
      </c>
      <c r="M58" s="168">
        <f>IF(M24=1,K44,0)</f>
        <v>0</v>
      </c>
      <c r="N58" s="115">
        <f>IF(N24=1,N44,0)</f>
        <v>0</v>
      </c>
      <c r="P58" s="168">
        <f>IF(P24=1,N44,0)</f>
        <v>0</v>
      </c>
      <c r="Q58" s="115">
        <f>IF(Q24=1,Q44,0)</f>
        <v>0</v>
      </c>
      <c r="S58" s="168">
        <f>IF(S24=1,Q44,0)</f>
        <v>0</v>
      </c>
      <c r="T58" s="115">
        <f>IF(T24=1,T44,0)</f>
        <v>0</v>
      </c>
      <c r="V58" s="168">
        <f>IF(V24=1,T44,0)</f>
        <v>0</v>
      </c>
      <c r="W58" s="115">
        <f>IF(W24=1,W44,0)</f>
        <v>0</v>
      </c>
      <c r="Y58" s="168">
        <f>IF(Y24=1,W44,0)</f>
        <v>0</v>
      </c>
      <c r="Z58" s="115">
        <f>IF(Z24=1,Z44,0)</f>
        <v>0</v>
      </c>
      <c r="AB58" s="168">
        <f>IF(AB24=1,Z44,0)</f>
        <v>0</v>
      </c>
      <c r="AC58" s="115">
        <f>IF(AC24=1,AC44,0)</f>
        <v>0</v>
      </c>
      <c r="AE58" s="168">
        <f>IF(AE24=1,AC44,0)</f>
        <v>0</v>
      </c>
      <c r="AF58" s="115">
        <f>SUM(B58:AE58)</f>
        <v>84</v>
      </c>
      <c r="AT58" s="513"/>
      <c r="AU58" s="513"/>
      <c r="AV58" s="513"/>
      <c r="AW58" s="514"/>
      <c r="AX58" s="513"/>
      <c r="AY58" s="513"/>
    </row>
    <row r="59" spans="1:51" s="115" customFormat="1" ht="12.75" hidden="1" customHeight="1">
      <c r="A59" s="115" t="s">
        <v>44</v>
      </c>
      <c r="B59" s="115">
        <f>IF(B24=2,B44,0)</f>
        <v>0</v>
      </c>
      <c r="D59" s="168">
        <f>IF(D24=2,B44,0)</f>
        <v>45</v>
      </c>
      <c r="E59" s="115">
        <f>IF(E24=2,E44,0)</f>
        <v>54</v>
      </c>
      <c r="G59" s="168">
        <f>IF(G24=2,E44,0)</f>
        <v>0</v>
      </c>
      <c r="H59" s="115">
        <f>IF(H24=2,H44,0)</f>
        <v>0</v>
      </c>
      <c r="J59" s="168">
        <f>IF(J24=2,H44,0)</f>
        <v>0</v>
      </c>
      <c r="K59" s="115">
        <f>IF(K24=2,K44,0)</f>
        <v>0</v>
      </c>
      <c r="M59" s="168">
        <f>IF(M24=2,K44,0)</f>
        <v>0</v>
      </c>
      <c r="N59" s="115">
        <f>IF(N24=2,N44,0)</f>
        <v>0</v>
      </c>
      <c r="P59" s="168">
        <f>IF(P24=2,N44,0)</f>
        <v>0</v>
      </c>
      <c r="Q59" s="115">
        <f>IF(Q24=2,Q44,0)</f>
        <v>0</v>
      </c>
      <c r="S59" s="168">
        <f>IF(S24=2,Q44,0)</f>
        <v>0</v>
      </c>
      <c r="T59" s="115">
        <f>IF(T24=2,T44,0)</f>
        <v>0</v>
      </c>
      <c r="V59" s="168">
        <f>IF(V24=2,T44,0)</f>
        <v>0</v>
      </c>
      <c r="W59" s="115">
        <f>IF(W24=2,W44,0)</f>
        <v>0</v>
      </c>
      <c r="Y59" s="168">
        <f>IF(Y24=2,W44,0)</f>
        <v>0</v>
      </c>
      <c r="Z59" s="115">
        <f>IF(Z24=2,Z44,0)</f>
        <v>0</v>
      </c>
      <c r="AB59" s="168">
        <f>IF(AB24=2,Z44,0)</f>
        <v>0</v>
      </c>
      <c r="AC59" s="115">
        <f>IF(AC24=2,AC44,0)</f>
        <v>0</v>
      </c>
      <c r="AE59" s="168">
        <f>IF(AE24=2,AC44,0)</f>
        <v>0</v>
      </c>
      <c r="AF59" s="115">
        <f>SUM(B59:AE59)</f>
        <v>99</v>
      </c>
      <c r="AT59" s="513"/>
      <c r="AU59" s="513"/>
      <c r="AV59" s="513"/>
      <c r="AW59" s="514"/>
      <c r="AX59" s="513"/>
      <c r="AY59" s="513"/>
    </row>
    <row r="60" spans="1:51" s="115" customFormat="1" ht="12.75" hidden="1" customHeight="1">
      <c r="A60" s="115" t="s">
        <v>45</v>
      </c>
      <c r="B60" s="115">
        <f>IF(B24=3,B44,0)</f>
        <v>0</v>
      </c>
      <c r="D60" s="168">
        <f>IF(D24=3,B44,0)</f>
        <v>0</v>
      </c>
      <c r="E60" s="115">
        <f>IF(E24=3,E44,0)</f>
        <v>0</v>
      </c>
      <c r="G60" s="168">
        <f>IF(G24=3,E44,0)</f>
        <v>54</v>
      </c>
      <c r="H60" s="115">
        <f>IF(H24=3,H44,0)</f>
        <v>0</v>
      </c>
      <c r="J60" s="168">
        <f>IF(J24=3,H44,0)</f>
        <v>39</v>
      </c>
      <c r="K60" s="115">
        <f>IF(K24=3,K44,0)</f>
        <v>0</v>
      </c>
      <c r="M60" s="168">
        <f>IF(M24=3,K44,0)</f>
        <v>0</v>
      </c>
      <c r="N60" s="115">
        <f>IF(N24=3,N44,0)</f>
        <v>0</v>
      </c>
      <c r="P60" s="168">
        <f>IF(P24=3,N44,0)</f>
        <v>0</v>
      </c>
      <c r="Q60" s="115">
        <f>IF(Q24=3,Q44,0)</f>
        <v>0</v>
      </c>
      <c r="S60" s="168">
        <f>IF(S24=3,Q44,0)</f>
        <v>0</v>
      </c>
      <c r="T60" s="115">
        <f>IF(T24=3,T44,0)</f>
        <v>0</v>
      </c>
      <c r="V60" s="168">
        <f>IF(V24=3,T44,0)</f>
        <v>0</v>
      </c>
      <c r="W60" s="115">
        <f>IF(W24=3,W44,0)</f>
        <v>0</v>
      </c>
      <c r="Y60" s="168">
        <f>IF(Y24=3,W44,0)</f>
        <v>0</v>
      </c>
      <c r="Z60" s="115">
        <f>IF(Z24=3,Z44,0)</f>
        <v>0</v>
      </c>
      <c r="AB60" s="168">
        <f>IF(AB24=3,Z44,0)</f>
        <v>0</v>
      </c>
      <c r="AC60" s="115">
        <f>IF(AC24=3,AC44,0)</f>
        <v>0</v>
      </c>
      <c r="AE60" s="168">
        <f>IF(AE24=3,AC44,0)</f>
        <v>0</v>
      </c>
      <c r="AF60" s="115">
        <f>SUM(B60:AE60)</f>
        <v>93</v>
      </c>
      <c r="AT60" s="513"/>
      <c r="AU60" s="513"/>
      <c r="AV60" s="513"/>
      <c r="AW60" s="514"/>
      <c r="AX60" s="513"/>
      <c r="AY60" s="513"/>
    </row>
    <row r="61" spans="1:51" s="115" customFormat="1" ht="12.75" hidden="1" customHeight="1">
      <c r="A61" s="115" t="s">
        <v>46</v>
      </c>
      <c r="B61" s="115">
        <f>IF(B24=4,B44,0)</f>
        <v>0</v>
      </c>
      <c r="D61" s="168">
        <f>IF(D24=4,B44,0)</f>
        <v>0</v>
      </c>
      <c r="E61" s="115">
        <f>IF(E24=4,E44,0)</f>
        <v>0</v>
      </c>
      <c r="G61" s="168">
        <f>IF(G24=4,E44,0)</f>
        <v>0</v>
      </c>
      <c r="H61" s="115">
        <f>IF(H24=4,H44,0)</f>
        <v>0</v>
      </c>
      <c r="J61" s="168">
        <f>IF(J24=4,H44,0)</f>
        <v>0</v>
      </c>
      <c r="K61" s="115">
        <f>IF(K24=4,K44,0)</f>
        <v>0</v>
      </c>
      <c r="M61" s="168">
        <f>IF(M24=4,K44,0)</f>
        <v>0</v>
      </c>
      <c r="N61" s="115">
        <f>IF(N24=4,N44,0)</f>
        <v>0</v>
      </c>
      <c r="P61" s="168">
        <f>IF(P24=4,N44,0)</f>
        <v>0</v>
      </c>
      <c r="Q61" s="115">
        <f>IF(Q24=4,Q44,0)</f>
        <v>0</v>
      </c>
      <c r="S61" s="168">
        <f>IF(S24=4,Q44,0)</f>
        <v>0</v>
      </c>
      <c r="T61" s="115">
        <f>IF(T24=4,T44,0)</f>
        <v>0</v>
      </c>
      <c r="V61" s="168">
        <f>IF(V24=4,T44,0)</f>
        <v>0</v>
      </c>
      <c r="W61" s="115">
        <f>IF(W24=4,W44,0)</f>
        <v>0</v>
      </c>
      <c r="Y61" s="168">
        <f>IF(Y24=4,W44,0)</f>
        <v>0</v>
      </c>
      <c r="Z61" s="115">
        <f>IF(Z24=4,Z44,0)</f>
        <v>0</v>
      </c>
      <c r="AB61" s="168">
        <f>IF(AB24=4,Z44,0)</f>
        <v>0</v>
      </c>
      <c r="AC61" s="115">
        <f>IF(AC24=4,AC44,0)</f>
        <v>0</v>
      </c>
      <c r="AE61" s="168">
        <f>IF(AE24=4,AC44,0)</f>
        <v>0</v>
      </c>
      <c r="AF61" s="115">
        <f>SUM(B61:AE61)</f>
        <v>0</v>
      </c>
      <c r="AT61" s="513"/>
      <c r="AU61" s="513"/>
      <c r="AV61" s="513"/>
      <c r="AW61" s="514"/>
      <c r="AX61" s="513"/>
      <c r="AY61" s="513"/>
    </row>
    <row r="62" spans="1:51" s="115" customFormat="1" ht="12.75" hidden="1" customHeight="1">
      <c r="A62" s="115" t="s">
        <v>47</v>
      </c>
      <c r="B62" s="115">
        <f>IF(B24=5,B44,0)</f>
        <v>0</v>
      </c>
      <c r="D62" s="168">
        <f>IF(D24=5,B44,0)</f>
        <v>0</v>
      </c>
      <c r="E62" s="115">
        <f>IF(E24=5,E44,0)</f>
        <v>0</v>
      </c>
      <c r="G62" s="168">
        <f>IF(G24=5,E44,0)</f>
        <v>0</v>
      </c>
      <c r="H62" s="115">
        <f>IF(H24=5,H44,0)</f>
        <v>0</v>
      </c>
      <c r="J62" s="168">
        <f>IF(J24=5,H44,0)</f>
        <v>0</v>
      </c>
      <c r="K62" s="115">
        <f>IF(K24=5,K44,0)</f>
        <v>0</v>
      </c>
      <c r="M62" s="168">
        <f>IF(M24=5,K44,0)</f>
        <v>0</v>
      </c>
      <c r="N62" s="115">
        <f>IF(N24=5,N44,0)</f>
        <v>0</v>
      </c>
      <c r="P62" s="168">
        <f>IF(P24=5,N44,0)</f>
        <v>0</v>
      </c>
      <c r="Q62" s="115">
        <f>IF(Q24=5,Q44,0)</f>
        <v>0</v>
      </c>
      <c r="S62" s="168">
        <f>IF(S24=5,Q44,0)</f>
        <v>0</v>
      </c>
      <c r="T62" s="115">
        <f>IF(T24=5,T44,0)</f>
        <v>0</v>
      </c>
      <c r="V62" s="168">
        <f>IF(V24=5,T44,0)</f>
        <v>0</v>
      </c>
      <c r="W62" s="115">
        <f>IF(W24=5,W44,0)</f>
        <v>0</v>
      </c>
      <c r="Y62" s="168">
        <f>IF(Y24=5,W44,0)</f>
        <v>0</v>
      </c>
      <c r="Z62" s="115">
        <f>IF(Z24=5,Z44,0)</f>
        <v>0</v>
      </c>
      <c r="AB62" s="168">
        <f>IF(AB24=5,Z44,0)</f>
        <v>0</v>
      </c>
      <c r="AC62" s="115">
        <f>IF(AC24=5,AC44,0)</f>
        <v>0</v>
      </c>
      <c r="AE62" s="168">
        <f>IF(AE24=5,AC44,0)</f>
        <v>0</v>
      </c>
      <c r="AF62" s="115">
        <f>SUM(B62:AE62)</f>
        <v>0</v>
      </c>
      <c r="AT62" s="513"/>
      <c r="AU62" s="513"/>
      <c r="AV62" s="513"/>
      <c r="AW62" s="514"/>
      <c r="AX62" s="513"/>
      <c r="AY62" s="513"/>
    </row>
    <row r="63" spans="1:51" s="115" customFormat="1" ht="38.25" hidden="1" customHeight="1">
      <c r="A63" s="115" t="s">
        <v>48</v>
      </c>
      <c r="D63" s="168"/>
      <c r="G63" s="168"/>
      <c r="J63" s="168"/>
      <c r="M63" s="168"/>
      <c r="P63" s="168"/>
      <c r="S63" s="168"/>
      <c r="V63" s="168"/>
      <c r="Y63" s="168"/>
      <c r="AB63" s="168"/>
      <c r="AE63" s="168"/>
      <c r="AF63" s="167" t="s">
        <v>219</v>
      </c>
      <c r="AG63" s="115" t="s">
        <v>220</v>
      </c>
      <c r="AT63" s="513"/>
      <c r="AU63" s="513"/>
      <c r="AV63" s="513"/>
      <c r="AW63" s="514"/>
      <c r="AX63" s="513"/>
      <c r="AY63" s="513"/>
    </row>
    <row r="64" spans="1:51" s="115" customFormat="1" ht="12.75" hidden="1" customHeight="1">
      <c r="A64" s="115" t="s">
        <v>38</v>
      </c>
      <c r="B64" s="115">
        <f>IF(B24=1,SUMIF(B31:B35,"&gt;0"),0)</f>
        <v>2</v>
      </c>
      <c r="D64" s="168">
        <f>IF(D24=1,SUMIF(D31:D35,"&gt;0"),0)</f>
        <v>0</v>
      </c>
      <c r="E64" s="115">
        <f>IF(E24=1,SUMIF(E31:E35,"&gt;0"),0)</f>
        <v>0</v>
      </c>
      <c r="G64" s="168">
        <f>IF(G24=1,SUMIF(G31:G35,"&gt;0"),0)</f>
        <v>0</v>
      </c>
      <c r="H64" s="115">
        <f>IF(H24=1,SUMIF(H31:H35,"&gt;0"),0)</f>
        <v>1</v>
      </c>
      <c r="J64" s="168">
        <f>IF(J24=1,SUMIF(J31:J35,"&gt;0"),0)</f>
        <v>0</v>
      </c>
      <c r="K64" s="115">
        <f>IF(K24=1,SUMIF(K31:K35,"&gt;0"),0)</f>
        <v>0</v>
      </c>
      <c r="M64" s="168">
        <f>IF(M24=1,SUMIF(M31:M35,"&gt;0"),0)</f>
        <v>0</v>
      </c>
      <c r="N64" s="115">
        <f>IF(N24=1,SUMIF(N31:N35,"&gt;0"),0)</f>
        <v>0</v>
      </c>
      <c r="P64" s="168">
        <f>IF(P24=1,SUMIF(P31:P35,"&gt;0"),0)</f>
        <v>0</v>
      </c>
      <c r="Q64" s="115">
        <f>IF(Q24=1,SUMIF(Q31:Q35,"&gt;0"),0)</f>
        <v>0</v>
      </c>
      <c r="S64" s="168">
        <f>IF(S24=1,SUMIF(S31:S35,"&gt;0"),0)</f>
        <v>0</v>
      </c>
      <c r="T64" s="115">
        <f>IF(T24=1,SUMIF(T31:T35,"&gt;0"),0)</f>
        <v>0</v>
      </c>
      <c r="V64" s="168">
        <f>IF(V24=1,SUMIF(V31:V35,"&gt;0"),0)</f>
        <v>0</v>
      </c>
      <c r="W64" s="115">
        <f>IF(W24=1,SUMIF(W31:W35,"&gt;0"),0)</f>
        <v>0</v>
      </c>
      <c r="Y64" s="168">
        <f>IF(Y24=1,SUMIF(Y31:Y35,"&gt;0"),0)</f>
        <v>0</v>
      </c>
      <c r="Z64" s="115">
        <f>IF(Z24=1,SUMIF(Z31:Z35,"&gt;0"),0)</f>
        <v>0</v>
      </c>
      <c r="AB64" s="168">
        <f>IF(AB24=1,SUMIF(AB31:AB35,"&gt;0"),0)</f>
        <v>0</v>
      </c>
      <c r="AC64" s="115">
        <f>IF(AC24=1,SUMIF(AC31:AC35,"&gt;0"),0)</f>
        <v>0</v>
      </c>
      <c r="AE64" s="168">
        <f>IF(AE24=1,SUMIF(AE31:AE35,"&gt;0"),0)</f>
        <v>0</v>
      </c>
      <c r="AF64" s="115">
        <f>SUM(B64:AE64)</f>
        <v>3</v>
      </c>
      <c r="AG64" s="115">
        <f>AF72-AF64</f>
        <v>1</v>
      </c>
      <c r="AT64" s="513"/>
      <c r="AU64" s="513"/>
      <c r="AV64" s="513"/>
      <c r="AW64" s="514"/>
      <c r="AX64" s="513"/>
      <c r="AY64" s="513"/>
    </row>
    <row r="65" spans="1:54" s="115" customFormat="1" ht="12.75" hidden="1" customHeight="1">
      <c r="A65" s="115" t="s">
        <v>39</v>
      </c>
      <c r="B65" s="115">
        <f>IF(B24=2,SUMIF(B31:B35,"&gt;0"),0)</f>
        <v>0</v>
      </c>
      <c r="D65" s="168">
        <f>IF(D24=2,SUMIF(D31:D35,"&gt;0"),0)</f>
        <v>0</v>
      </c>
      <c r="E65" s="115">
        <f>IF(E24=2,SUMIF(E31:E35,"&gt;0"),0)</f>
        <v>0</v>
      </c>
      <c r="G65" s="168">
        <f>IF(G24=2,SUMIF(G31:G35,"&gt;0"),0)</f>
        <v>0</v>
      </c>
      <c r="H65" s="115">
        <f>IF(H24=2,SUMIF(H31:H35,"&gt;0"),0)</f>
        <v>0</v>
      </c>
      <c r="J65" s="168">
        <f>IF(J24=2,SUMIF(J31:J35,"&gt;0"),0)</f>
        <v>0</v>
      </c>
      <c r="K65" s="115">
        <f>IF(K24=2,SUMIF(K31:K35,"&gt;0"),0)</f>
        <v>0</v>
      </c>
      <c r="M65" s="168">
        <f>IF(M24=2,SUMIF(M31:M35,"&gt;0"),0)</f>
        <v>0</v>
      </c>
      <c r="N65" s="115">
        <f>IF(N24=2,SUMIF(N31:N35,"&gt;0"),0)</f>
        <v>0</v>
      </c>
      <c r="P65" s="168">
        <f>IF(P24=2,SUMIF(P31:P35,"&gt;0"),0)</f>
        <v>0</v>
      </c>
      <c r="Q65" s="115">
        <f>IF(Q24=2,SUMIF(Q31:Q35,"&gt;0"),0)</f>
        <v>0</v>
      </c>
      <c r="S65" s="168">
        <f>IF(S24=2,SUMIF(S31:S35,"&gt;0"),0)</f>
        <v>0</v>
      </c>
      <c r="T65" s="115">
        <f>IF(T24=2,SUMIF(T31:T35,"&gt;0"),0)</f>
        <v>0</v>
      </c>
      <c r="V65" s="168">
        <f>IF(V24=2,SUMIF(V31:V35,"&gt;0"),0)</f>
        <v>0</v>
      </c>
      <c r="W65" s="115">
        <f>IF(W24=2,SUMIF(W31:W35,"&gt;0"),0)</f>
        <v>0</v>
      </c>
      <c r="Y65" s="168">
        <f>IF(Y24=2,SUMIF(Y31:Y35,"&gt;0"),0)</f>
        <v>0</v>
      </c>
      <c r="Z65" s="115">
        <f>IF(Z24=2,SUMIF(Z31:Z35,"&gt;0"),0)</f>
        <v>0</v>
      </c>
      <c r="AB65" s="168">
        <f>IF(AB24=2,SUMIF(AB31:AB35,"&gt;0"),0)</f>
        <v>0</v>
      </c>
      <c r="AC65" s="115">
        <f>IF(AC24=2,SUMIF(AC31:AC35,"&gt;0"),0)</f>
        <v>0</v>
      </c>
      <c r="AE65" s="168">
        <f>IF(AE24=2,SUMIF(AE31:AE35,"&gt;0"),0)</f>
        <v>0</v>
      </c>
      <c r="AF65" s="115">
        <f>SUM(B65:AE65)</f>
        <v>0</v>
      </c>
      <c r="AG65" s="115">
        <f>AF73-AF65</f>
        <v>4</v>
      </c>
      <c r="AT65" s="513"/>
      <c r="AU65" s="513"/>
      <c r="AV65" s="513"/>
      <c r="AW65" s="514"/>
      <c r="AX65" s="513"/>
      <c r="AY65" s="513"/>
    </row>
    <row r="66" spans="1:54" s="115" customFormat="1" ht="12.75" hidden="1" customHeight="1">
      <c r="A66" s="115" t="s">
        <v>40</v>
      </c>
      <c r="B66" s="115">
        <f>IF(B24=3,SUMIF(B31:B35,"&gt;0"),0)</f>
        <v>0</v>
      </c>
      <c r="D66" s="168">
        <f>IF(D24=3,SUMIF(D31:D35,"&gt;0"),0)</f>
        <v>0</v>
      </c>
      <c r="E66" s="115">
        <f>IF(E24=3,SUMIF(E31:E35,"&gt;0"),0)</f>
        <v>0</v>
      </c>
      <c r="G66" s="168">
        <f>IF(G24=3,SUMIF(G31:G35,"&gt;0"),0)</f>
        <v>2</v>
      </c>
      <c r="H66" s="115">
        <f>IF(H24=3,SUMIF(H31:H35,"&gt;0"),0)</f>
        <v>0</v>
      </c>
      <c r="J66" s="168">
        <f>IF(J24=3,SUMIF(J31:J35,"&gt;0"),0)</f>
        <v>1</v>
      </c>
      <c r="K66" s="115">
        <f>IF(K24=3,SUMIF(K31:K35,"&gt;0"),0)</f>
        <v>0</v>
      </c>
      <c r="M66" s="168">
        <f>IF(M24=3,SUMIF(M31:M35,"&gt;0"),0)</f>
        <v>0</v>
      </c>
      <c r="N66" s="115">
        <f>IF(N24=3,SUMIF(N31:N35,"&gt;0"),0)</f>
        <v>0</v>
      </c>
      <c r="P66" s="168">
        <f>IF(P24=3,SUMIF(P31:P35,"&gt;0"),0)</f>
        <v>0</v>
      </c>
      <c r="Q66" s="115">
        <f>IF(Q24=3,SUMIF(Q31:Q35,"&gt;0"),0)</f>
        <v>0</v>
      </c>
      <c r="S66" s="168">
        <f>IF(S24=3,SUMIF(S31:S35,"&gt;0"),0)</f>
        <v>0</v>
      </c>
      <c r="T66" s="115">
        <f>IF(T24=3,SUMIF(T31:T35,"&gt;0"),0)</f>
        <v>0</v>
      </c>
      <c r="V66" s="168">
        <f>IF(V24=3,SUMIF(V31:V35,"&gt;0"),0)</f>
        <v>0</v>
      </c>
      <c r="W66" s="115">
        <f>IF(W24=3,SUMIF(W31:W35,"&gt;0"),0)</f>
        <v>0</v>
      </c>
      <c r="Y66" s="168">
        <f>IF(Y24=3,SUMIF(Y31:Y35,"&gt;0"),0)</f>
        <v>0</v>
      </c>
      <c r="Z66" s="115">
        <f>IF(Z24=3,SUMIF(Z31:Z35,"&gt;0"),0)</f>
        <v>0</v>
      </c>
      <c r="AB66" s="168">
        <f>IF(AB24=3,SUMIF(AB31:AB35,"&gt;0"),0)</f>
        <v>0</v>
      </c>
      <c r="AC66" s="115">
        <f>IF(AC24=3,SUMIF(AC31:AC35,"&gt;0"),0)</f>
        <v>0</v>
      </c>
      <c r="AE66" s="168">
        <f>IF(AE24=3,SUMIF(AE31:AE35,"&gt;0"),0)</f>
        <v>0</v>
      </c>
      <c r="AF66" s="115">
        <f>SUM(B66:AE66)</f>
        <v>3</v>
      </c>
      <c r="AG66" s="115">
        <f>AF74-AF66</f>
        <v>1</v>
      </c>
      <c r="AT66" s="513"/>
      <c r="AU66" s="513"/>
      <c r="AV66" s="513"/>
      <c r="AW66" s="514"/>
      <c r="AX66" s="513"/>
      <c r="AY66" s="513"/>
    </row>
    <row r="67" spans="1:54" s="115" customFormat="1" ht="12.75" hidden="1" customHeight="1">
      <c r="A67" s="115" t="s">
        <v>41</v>
      </c>
      <c r="B67" s="115">
        <f>IF(B24=4,SUMIF(B31:B35,"&gt;0"),0)</f>
        <v>0</v>
      </c>
      <c r="D67" s="168">
        <f>IF(D24=4,SUMIF(D31:D35,"&gt;0"),0)</f>
        <v>0</v>
      </c>
      <c r="E67" s="115">
        <f>IF(E24=4,SUMIF(E31:E35,"&gt;0"),0)</f>
        <v>0</v>
      </c>
      <c r="G67" s="168">
        <f>IF(G24=4,SUMIF(G31:G35,"&gt;0"),0)</f>
        <v>0</v>
      </c>
      <c r="H67" s="115">
        <f>IF(H24=4,SUMIF(H31:H35,"&gt;0"),0)</f>
        <v>0</v>
      </c>
      <c r="J67" s="168">
        <f>IF(J24=4,SUMIF(J31:J35,"&gt;0"),0)</f>
        <v>0</v>
      </c>
      <c r="K67" s="115">
        <f>IF(K24=4,SUMIF(K31:K35,"&gt;0"),0)</f>
        <v>0</v>
      </c>
      <c r="M67" s="168">
        <f>IF(M24=4,SUMIF(M31:M35,"&gt;0"),0)</f>
        <v>0</v>
      </c>
      <c r="N67" s="115">
        <f>IF(N24=4,SUMIF(N31:N35,"&gt;0"),0)</f>
        <v>0</v>
      </c>
      <c r="P67" s="168">
        <f>IF(P24=4,SUMIF(P31:P35,"&gt;0"),0)</f>
        <v>0</v>
      </c>
      <c r="Q67" s="115">
        <f>IF(Q24=4,SUMIF(Q31:Q35,"&gt;0"),0)</f>
        <v>0</v>
      </c>
      <c r="S67" s="168">
        <f>IF(S24=4,SUMIF(S31:S35,"&gt;0"),0)</f>
        <v>0</v>
      </c>
      <c r="T67" s="115">
        <f>IF(T24=4,SUMIF(T31:T35,"&gt;0"),0)</f>
        <v>0</v>
      </c>
      <c r="V67" s="168">
        <f>IF(V24=4,SUMIF(V31:V35,"&gt;0"),0)</f>
        <v>0</v>
      </c>
      <c r="W67" s="115">
        <f>IF(W24=4,SUMIF(W31:W35,"&gt;0"),0)</f>
        <v>0</v>
      </c>
      <c r="Y67" s="168">
        <f>IF(Y24=4,SUMIF(Y31:Y35,"&gt;0"),0)</f>
        <v>0</v>
      </c>
      <c r="Z67" s="115">
        <f>IF(Z24=4,SUMIF(Z31:Z35,"&gt;0"),0)</f>
        <v>0</v>
      </c>
      <c r="AB67" s="168">
        <f>IF(AB24=4,SUMIF(AB31:AB35,"&gt;0"),0)</f>
        <v>0</v>
      </c>
      <c r="AC67" s="115">
        <f>IF(AC24=4,SUMIF(AC31:AC35,"&gt;0"),0)</f>
        <v>0</v>
      </c>
      <c r="AE67" s="168">
        <f>IF(AE24=4,SUMIF(AE31:AE35,"&gt;0"),0)</f>
        <v>0</v>
      </c>
      <c r="AF67" s="115">
        <f>SUM(B67:AE67)</f>
        <v>0</v>
      </c>
      <c r="AG67" s="115">
        <f>AF75-AF67</f>
        <v>0</v>
      </c>
      <c r="AT67" s="513"/>
      <c r="AU67" s="513"/>
      <c r="AV67" s="513"/>
      <c r="AW67" s="514"/>
      <c r="AX67" s="513"/>
      <c r="AY67" s="513"/>
    </row>
    <row r="68" spans="1:54" s="115" customFormat="1" ht="12.75" hidden="1" customHeight="1">
      <c r="A68" s="115" t="s">
        <v>42</v>
      </c>
      <c r="B68" s="115">
        <f>IF(B24=5,SUMIF(B31:B35,"&gt;0"),0)</f>
        <v>0</v>
      </c>
      <c r="D68" s="168">
        <f>IF(D24=5,SUMIF(D31:D35,"&gt;0"),0)</f>
        <v>0</v>
      </c>
      <c r="E68" s="115">
        <f>IF(E24=5,SUMIF(E31:E35,"&gt;0"),0)</f>
        <v>0</v>
      </c>
      <c r="G68" s="168">
        <f>IF(G24=5,SUMIF(G31:G35,"&gt;0"),0)</f>
        <v>0</v>
      </c>
      <c r="H68" s="115">
        <f>IF(H24=5,SUMIF(H31:H35,"&gt;0"),0)</f>
        <v>0</v>
      </c>
      <c r="J68" s="168">
        <f>IF(J24=5,SUMIF(J31:J35,"&gt;0"),0)</f>
        <v>0</v>
      </c>
      <c r="K68" s="115">
        <f>IF(K24=5,SUMIF(K31:K35,"&gt;0"),0)</f>
        <v>0</v>
      </c>
      <c r="M68" s="168">
        <f>IF(M24=5,SUMIF(M31:M35,"&gt;0"),0)</f>
        <v>0</v>
      </c>
      <c r="N68" s="115">
        <f>IF(N24=5,SUMIF(N31:N35,"&gt;0"),0)</f>
        <v>0</v>
      </c>
      <c r="P68" s="168">
        <f>IF(P24=5,SUMIF(P31:P35,"&gt;0"),0)</f>
        <v>0</v>
      </c>
      <c r="Q68" s="115">
        <f>IF(Q24=5,SUMIF(Q31:Q35,"&gt;0"),0)</f>
        <v>0</v>
      </c>
      <c r="S68" s="168">
        <f>IF(S24=5,SUMIF(S31:S35,"&gt;0"),0)</f>
        <v>0</v>
      </c>
      <c r="T68" s="115">
        <f>IF(T24=5,SUMIF(T31:T35,"&gt;0"),0)</f>
        <v>0</v>
      </c>
      <c r="V68" s="168">
        <f>IF(V24=5,SUMIF(V31:V35,"&gt;0"),0)</f>
        <v>0</v>
      </c>
      <c r="W68" s="115">
        <f>IF(W24=5,SUMIF(W31:W35,"&gt;0"),0)</f>
        <v>0</v>
      </c>
      <c r="Y68" s="168">
        <f>IF(Y24=5,SUMIF(Y31:Y35,"&gt;0"),0)</f>
        <v>0</v>
      </c>
      <c r="Z68" s="115">
        <f>IF(Z24=5,SUMIF(Z31:Z35,"&gt;0"),0)</f>
        <v>0</v>
      </c>
      <c r="AB68" s="168">
        <f>IF(AB24=5,SUMIF(AB31:AB35,"&gt;0"),0)</f>
        <v>0</v>
      </c>
      <c r="AC68" s="115">
        <f>IF(AC24=5,SUMIF(AC31:AC35,"&gt;0"),0)</f>
        <v>0</v>
      </c>
      <c r="AE68" s="168">
        <f>IF(AE24=5,SUMIF(AE31:AE35,"&gt;0"),0)</f>
        <v>0</v>
      </c>
      <c r="AF68" s="115">
        <f>SUM(B68:AE68)</f>
        <v>0</v>
      </c>
      <c r="AG68" s="115">
        <f>AF76-AF68</f>
        <v>0</v>
      </c>
      <c r="AT68" s="513"/>
      <c r="AU68" s="513"/>
      <c r="AV68" s="513"/>
      <c r="AW68" s="514"/>
      <c r="AX68" s="513"/>
      <c r="AY68" s="513"/>
    </row>
    <row r="69" spans="1:54" s="115" customFormat="1" ht="12.75" hidden="1" customHeight="1">
      <c r="D69" s="168"/>
      <c r="G69" s="168"/>
      <c r="J69" s="168"/>
      <c r="M69" s="168"/>
      <c r="P69" s="168"/>
      <c r="S69" s="168"/>
      <c r="V69" s="168"/>
      <c r="Y69" s="168"/>
      <c r="AB69" s="168"/>
      <c r="AE69" s="168"/>
      <c r="AT69" s="513"/>
      <c r="AU69" s="513"/>
      <c r="AV69" s="513"/>
      <c r="AW69" s="514"/>
      <c r="AX69" s="513"/>
      <c r="AY69" s="513"/>
    </row>
    <row r="70" spans="1:54" s="115" customFormat="1" ht="12.75" hidden="1" customHeight="1">
      <c r="D70" s="168"/>
      <c r="G70" s="168"/>
      <c r="J70" s="168"/>
      <c r="M70" s="168"/>
      <c r="P70" s="168"/>
      <c r="S70" s="168"/>
      <c r="V70" s="168"/>
      <c r="Y70" s="168"/>
      <c r="AB70" s="168"/>
      <c r="AE70" s="168"/>
      <c r="AT70" s="513"/>
      <c r="AU70" s="513"/>
      <c r="AV70" s="513"/>
      <c r="AW70" s="514"/>
      <c r="AX70" s="513"/>
      <c r="AY70" s="513"/>
    </row>
    <row r="71" spans="1:54" s="115" customFormat="1" ht="51" hidden="1" customHeight="1">
      <c r="A71" s="167" t="s">
        <v>221</v>
      </c>
      <c r="C71" s="115">
        <f>SUMIF(B64:D68,"&gt;0")</f>
        <v>2</v>
      </c>
      <c r="D71" s="168"/>
      <c r="F71" s="115">
        <f>SUMIF(E64:G68,"&gt;0")</f>
        <v>2</v>
      </c>
      <c r="G71" s="168"/>
      <c r="I71" s="115">
        <f>SUMIF(H64:J68,"&gt;0")</f>
        <v>2</v>
      </c>
      <c r="J71" s="168"/>
      <c r="L71" s="115">
        <f>SUMIF(K64:M68,"&gt;0")</f>
        <v>0</v>
      </c>
      <c r="M71" s="168"/>
      <c r="O71" s="115">
        <f>SUMIF(N64:P68,"&gt;0")</f>
        <v>0</v>
      </c>
      <c r="P71" s="168"/>
      <c r="R71" s="115">
        <f>SUMIF(Q64:S68,"&gt;0")</f>
        <v>0</v>
      </c>
      <c r="S71" s="168"/>
      <c r="U71" s="115">
        <f>SUMIF(T64:V68,"&gt;0")</f>
        <v>0</v>
      </c>
      <c r="V71" s="168"/>
      <c r="X71" s="115">
        <f>SUMIF(W64:Y68,"&gt;0")</f>
        <v>0</v>
      </c>
      <c r="Y71" s="168"/>
      <c r="AA71" s="115">
        <f>SUMIF(Z64:AB68,"&gt;0")</f>
        <v>0</v>
      </c>
      <c r="AB71" s="168"/>
      <c r="AD71" s="115">
        <f>SUMIF(AC64:AE68,"&gt;0")</f>
        <v>0</v>
      </c>
      <c r="AE71" s="168"/>
      <c r="AF71" s="167" t="s">
        <v>222</v>
      </c>
      <c r="AT71" s="513"/>
      <c r="AU71" s="513"/>
      <c r="AV71" s="513"/>
      <c r="AW71" s="514"/>
      <c r="AX71" s="513"/>
      <c r="AY71" s="513"/>
    </row>
    <row r="72" spans="1:54" s="115" customFormat="1" ht="12.75" hidden="1" customHeight="1">
      <c r="A72" s="115" t="s">
        <v>43</v>
      </c>
      <c r="B72" s="115">
        <f>IF(B24=1,C71,0)</f>
        <v>2</v>
      </c>
      <c r="D72" s="168">
        <f>IF(D24=1,C71,0)</f>
        <v>0</v>
      </c>
      <c r="E72" s="115">
        <f>IF(E24=1,F71,0)</f>
        <v>0</v>
      </c>
      <c r="G72" s="168">
        <f>IF(G24=1,F71,0)</f>
        <v>0</v>
      </c>
      <c r="H72" s="115">
        <f>IF(H24=1,I71,0)</f>
        <v>2</v>
      </c>
      <c r="J72" s="168">
        <f>IF(J24=1,I71,0)</f>
        <v>0</v>
      </c>
      <c r="K72" s="115">
        <f>IF(K24=1,L71,0)</f>
        <v>0</v>
      </c>
      <c r="M72" s="168">
        <f>IF(M24=1,L71,0)</f>
        <v>0</v>
      </c>
      <c r="N72" s="115">
        <f>IF(N24=1,O71,0)</f>
        <v>0</v>
      </c>
      <c r="P72" s="168">
        <f>IF(P24=1,O71,0)</f>
        <v>0</v>
      </c>
      <c r="Q72" s="115">
        <f>IF(Q24=1,R71,0)</f>
        <v>0</v>
      </c>
      <c r="S72" s="168">
        <f>IF(S24=1,R71,0)</f>
        <v>0</v>
      </c>
      <c r="T72" s="115">
        <f>IF(T24=1,U71,0)</f>
        <v>0</v>
      </c>
      <c r="V72" s="168">
        <f>IF(V24=1,U71,0)</f>
        <v>0</v>
      </c>
      <c r="W72" s="115">
        <f>IF(W24=1,X71,0)</f>
        <v>0</v>
      </c>
      <c r="Y72" s="168">
        <f>IF(Y24=1,X71,0)</f>
        <v>0</v>
      </c>
      <c r="Z72" s="115">
        <f>IF(Z24=1,AA71,0)</f>
        <v>0</v>
      </c>
      <c r="AB72" s="168">
        <f>IF(AB24=1,AA71,0)</f>
        <v>0</v>
      </c>
      <c r="AC72" s="115">
        <f>IF(AC24=1,AD71,0)</f>
        <v>0</v>
      </c>
      <c r="AE72" s="168">
        <f>IF(AE24=1,AD71,0)</f>
        <v>0</v>
      </c>
      <c r="AF72" s="115">
        <f>SUM(B72:AE72)</f>
        <v>4</v>
      </c>
      <c r="AT72" s="513"/>
      <c r="AU72" s="513"/>
      <c r="AV72" s="513"/>
      <c r="AW72" s="514"/>
      <c r="AX72" s="513"/>
      <c r="AY72" s="513"/>
    </row>
    <row r="73" spans="1:54" s="115" customFormat="1" ht="12.75" hidden="1" customHeight="1">
      <c r="A73" s="115" t="s">
        <v>44</v>
      </c>
      <c r="B73" s="115">
        <f>IF(B24=2,C71,0)</f>
        <v>0</v>
      </c>
      <c r="D73" s="168">
        <f>IF(D24=2,C71,0)</f>
        <v>2</v>
      </c>
      <c r="E73" s="115">
        <f>IF(E24=2,F71,0)</f>
        <v>2</v>
      </c>
      <c r="G73" s="168">
        <f>IF(G24=2,F71,0)</f>
        <v>0</v>
      </c>
      <c r="H73" s="115">
        <f>IF(H24=2,I71,0)</f>
        <v>0</v>
      </c>
      <c r="J73" s="168">
        <f>IF(J24=2,I71,0)</f>
        <v>0</v>
      </c>
      <c r="K73" s="115">
        <f>IF(K24=2,L71,0)</f>
        <v>0</v>
      </c>
      <c r="M73" s="168">
        <f>IF(M24=2,L71,0)</f>
        <v>0</v>
      </c>
      <c r="N73" s="115">
        <f>IF(N24=2,O71,0)</f>
        <v>0</v>
      </c>
      <c r="P73" s="168">
        <f>IF(P24=2,O71,0)</f>
        <v>0</v>
      </c>
      <c r="Q73" s="115">
        <f>IF(Q24=2,R71,0)</f>
        <v>0</v>
      </c>
      <c r="S73" s="168">
        <f>IF(S24=2,R71,0)</f>
        <v>0</v>
      </c>
      <c r="T73" s="115">
        <f>IF(T24=2,U71,0)</f>
        <v>0</v>
      </c>
      <c r="V73" s="168">
        <f>IF(V24=2,U71,0)</f>
        <v>0</v>
      </c>
      <c r="W73" s="115">
        <f>IF(W24=2,X71,0)</f>
        <v>0</v>
      </c>
      <c r="Y73" s="168">
        <f>IF(Y24=2,X71,0)</f>
        <v>0</v>
      </c>
      <c r="Z73" s="115">
        <f>IF(Z24=2,AA71,0)</f>
        <v>0</v>
      </c>
      <c r="AB73" s="168">
        <f>IF(AB24=2,AA71,0)</f>
        <v>0</v>
      </c>
      <c r="AC73" s="115">
        <f>IF(AC24=2,AD71,0)</f>
        <v>0</v>
      </c>
      <c r="AE73" s="168">
        <f>IF(AE24=2,AD71,0)</f>
        <v>0</v>
      </c>
      <c r="AF73" s="115">
        <f>SUM(B73:AE73)</f>
        <v>4</v>
      </c>
      <c r="AT73" s="513"/>
      <c r="AU73" s="513"/>
      <c r="AV73" s="513"/>
      <c r="AW73" s="514"/>
      <c r="AX73" s="513"/>
      <c r="AY73" s="513"/>
    </row>
    <row r="74" spans="1:54" s="115" customFormat="1" ht="12.75" hidden="1" customHeight="1">
      <c r="A74" s="115" t="s">
        <v>45</v>
      </c>
      <c r="B74" s="115">
        <f>IF(B24=3,C71,0)</f>
        <v>0</v>
      </c>
      <c r="D74" s="168">
        <f>IF(D24=3,C71,0)</f>
        <v>0</v>
      </c>
      <c r="E74" s="115">
        <f>IF(E24=3,F71,0)</f>
        <v>0</v>
      </c>
      <c r="G74" s="168">
        <f>IF(G24=3,F71,0)</f>
        <v>2</v>
      </c>
      <c r="H74" s="115">
        <f>IF(H24=3,I71,0)</f>
        <v>0</v>
      </c>
      <c r="J74" s="168">
        <f>IF(J24=3,I71,0)</f>
        <v>2</v>
      </c>
      <c r="K74" s="115">
        <f>IF(K24=3,L71,0)</f>
        <v>0</v>
      </c>
      <c r="M74" s="168">
        <f>IF(M24=3,L71,0)</f>
        <v>0</v>
      </c>
      <c r="N74" s="115">
        <f>IF(N24=3,O71,0)</f>
        <v>0</v>
      </c>
      <c r="P74" s="168">
        <f>IF(P24=3,O71,0)</f>
        <v>0</v>
      </c>
      <c r="Q74" s="115">
        <f>IF(Q24=3,R71,0)</f>
        <v>0</v>
      </c>
      <c r="S74" s="168">
        <f>IF(S24=3,R71,0)</f>
        <v>0</v>
      </c>
      <c r="T74" s="115">
        <f>IF(T24=3,U71,0)</f>
        <v>0</v>
      </c>
      <c r="V74" s="168">
        <f>IF(V24=3,U71,0)</f>
        <v>0</v>
      </c>
      <c r="W74" s="115">
        <f>IF(W24=3,X71,0)</f>
        <v>0</v>
      </c>
      <c r="Y74" s="168">
        <f>IF(Y24=3,X71,0)</f>
        <v>0</v>
      </c>
      <c r="Z74" s="115">
        <f>IF(Z24=3,AA71,0)</f>
        <v>0</v>
      </c>
      <c r="AB74" s="168">
        <f>IF(AB24=3,AA71,0)</f>
        <v>0</v>
      </c>
      <c r="AC74" s="115">
        <f>IF(AC24=3,AD71,0)</f>
        <v>0</v>
      </c>
      <c r="AE74" s="168">
        <f>IF(AE24=3,AD71,0)</f>
        <v>0</v>
      </c>
      <c r="AF74" s="115">
        <f>SUM(B74:AE74)</f>
        <v>4</v>
      </c>
      <c r="AT74" s="513"/>
      <c r="AU74" s="513"/>
      <c r="AV74" s="513"/>
      <c r="AW74" s="514"/>
      <c r="AX74" s="513"/>
      <c r="AY74" s="513"/>
    </row>
    <row r="75" spans="1:54" s="115" customFormat="1" ht="12.75" hidden="1" customHeight="1">
      <c r="A75" s="115" t="s">
        <v>46</v>
      </c>
      <c r="B75" s="115">
        <f>IF(B24=4,C71,0)</f>
        <v>0</v>
      </c>
      <c r="D75" s="168">
        <f>IF(D24=4,C71,0)</f>
        <v>0</v>
      </c>
      <c r="E75" s="115">
        <f>IF(E24=4,F71,0)</f>
        <v>0</v>
      </c>
      <c r="G75" s="168">
        <f>IF(G24=4,F71,0)</f>
        <v>0</v>
      </c>
      <c r="H75" s="115">
        <f>IF(H24=4,I71,0)</f>
        <v>0</v>
      </c>
      <c r="J75" s="168">
        <f>IF(J24=4,I71,0)</f>
        <v>0</v>
      </c>
      <c r="K75" s="115">
        <f>IF(K24=4,L71,0)</f>
        <v>0</v>
      </c>
      <c r="M75" s="168">
        <f>IF(M24=4,L71,0)</f>
        <v>0</v>
      </c>
      <c r="N75" s="115">
        <f>IF(N24=4,O71,0)</f>
        <v>0</v>
      </c>
      <c r="P75" s="168">
        <f>IF(P24=4,O71,0)</f>
        <v>0</v>
      </c>
      <c r="Q75" s="115">
        <f>IF(Q24=4,R71,0)</f>
        <v>0</v>
      </c>
      <c r="S75" s="168">
        <f>IF(S24=4,R71,0)</f>
        <v>0</v>
      </c>
      <c r="T75" s="115">
        <f>IF(T24=4,U71,0)</f>
        <v>0</v>
      </c>
      <c r="V75" s="168">
        <f>IF(V24=4,U71,0)</f>
        <v>0</v>
      </c>
      <c r="W75" s="115">
        <f>IF(W24=4,X71,0)</f>
        <v>0</v>
      </c>
      <c r="Y75" s="168">
        <f>IF(Y24=4,X71,0)</f>
        <v>0</v>
      </c>
      <c r="Z75" s="115">
        <f>IF(Z24=4,AA71,0)</f>
        <v>0</v>
      </c>
      <c r="AB75" s="168">
        <f>IF(AB24=4,AA71,0)</f>
        <v>0</v>
      </c>
      <c r="AC75" s="115">
        <f>IF(AC24=4,AD71,0)</f>
        <v>0</v>
      </c>
      <c r="AE75" s="168">
        <f>IF(AE24=4,AD71,0)</f>
        <v>0</v>
      </c>
      <c r="AF75" s="115">
        <f>SUM(B75:AE75)</f>
        <v>0</v>
      </c>
      <c r="AT75" s="513"/>
      <c r="AU75" s="513"/>
      <c r="AV75" s="513"/>
      <c r="AW75" s="514"/>
      <c r="AX75" s="513"/>
      <c r="AY75" s="513"/>
    </row>
    <row r="76" spans="1:54" s="115" customFormat="1" ht="12.75" hidden="1" customHeight="1">
      <c r="A76" s="115" t="s">
        <v>47</v>
      </c>
      <c r="B76" s="115">
        <f>IF(B24=5,C71,0)</f>
        <v>0</v>
      </c>
      <c r="D76" s="168">
        <f>IF(D24=5,C71,0)</f>
        <v>0</v>
      </c>
      <c r="E76" s="115">
        <f>IF(E24=5,F71,0)</f>
        <v>0</v>
      </c>
      <c r="G76" s="168">
        <f>IF(G24=5,F71,0)</f>
        <v>0</v>
      </c>
      <c r="H76" s="115">
        <f>IF(H24=5,I71,0)</f>
        <v>0</v>
      </c>
      <c r="J76" s="168">
        <f>IF(J24=5,I71,0)</f>
        <v>0</v>
      </c>
      <c r="K76" s="115">
        <f>IF(K24=5,L71,0)</f>
        <v>0</v>
      </c>
      <c r="M76" s="168">
        <f>IF(M24=5,L71,0)</f>
        <v>0</v>
      </c>
      <c r="N76" s="115">
        <f>IF(N24=5,O71,0)</f>
        <v>0</v>
      </c>
      <c r="P76" s="168">
        <f>IF(P24=5,O71,0)</f>
        <v>0</v>
      </c>
      <c r="Q76" s="115">
        <f>IF(Q24=5,R71,0)</f>
        <v>0</v>
      </c>
      <c r="S76" s="168">
        <f>IF(S24=5,R71,0)</f>
        <v>0</v>
      </c>
      <c r="T76" s="115">
        <f>IF(T24=5,U71,0)</f>
        <v>0</v>
      </c>
      <c r="V76" s="168">
        <f>IF(V24=5,U71,0)</f>
        <v>0</v>
      </c>
      <c r="W76" s="115">
        <f>IF(W24=5,X71,0)</f>
        <v>0</v>
      </c>
      <c r="Y76" s="168">
        <f>IF(Y24=5,X71,0)</f>
        <v>0</v>
      </c>
      <c r="Z76" s="115">
        <f>IF(Z24=5,AA71,0)</f>
        <v>0</v>
      </c>
      <c r="AB76" s="168">
        <f>IF(AB24=5,AA71,0)</f>
        <v>0</v>
      </c>
      <c r="AC76" s="115">
        <f>IF(AC24=5,AD71,0)</f>
        <v>0</v>
      </c>
      <c r="AE76" s="168">
        <f>IF(AE24=5,AD71,0)</f>
        <v>0</v>
      </c>
      <c r="AF76" s="115">
        <f>SUM(B76:AE76)</f>
        <v>0</v>
      </c>
      <c r="AT76" s="513"/>
      <c r="AU76" s="513"/>
      <c r="AV76" s="513"/>
      <c r="AW76" s="514"/>
      <c r="AX76" s="513"/>
      <c r="AY76" s="513"/>
    </row>
    <row r="77" spans="1:54" hidden="1">
      <c r="A77" s="118"/>
      <c r="B77" s="118"/>
      <c r="C77" s="118"/>
      <c r="D77" s="118"/>
      <c r="E77" s="118"/>
      <c r="F77" s="118"/>
      <c r="G77" s="118"/>
      <c r="H77" s="118"/>
      <c r="I77" s="118"/>
      <c r="J77" s="118"/>
      <c r="K77" s="118"/>
      <c r="L77" s="118"/>
      <c r="M77" s="118"/>
      <c r="N77" s="118"/>
      <c r="O77" s="118"/>
      <c r="P77" s="118"/>
      <c r="Q77" s="118"/>
      <c r="R77" s="118"/>
      <c r="S77" s="118"/>
      <c r="T77" s="118"/>
      <c r="U77" s="118"/>
      <c r="V77" s="118"/>
      <c r="W77" s="118"/>
      <c r="X77" s="118"/>
      <c r="Y77" s="118"/>
      <c r="Z77" s="118"/>
      <c r="AA77" s="118"/>
      <c r="AB77" s="118"/>
      <c r="AC77" s="118"/>
      <c r="AD77" s="118"/>
      <c r="AE77" s="118"/>
      <c r="AF77" s="118"/>
      <c r="AG77" s="118"/>
      <c r="AH77" s="118"/>
      <c r="AI77" s="118"/>
      <c r="AJ77" s="118"/>
      <c r="AK77" s="118"/>
      <c r="AL77" s="118"/>
      <c r="AM77" s="118"/>
      <c r="AN77" s="119"/>
      <c r="AO77" s="119"/>
      <c r="AP77" s="119"/>
      <c r="AQ77" s="119"/>
      <c r="AR77" s="117"/>
      <c r="AS77" s="117"/>
      <c r="AT77" s="513"/>
      <c r="AU77" s="513"/>
      <c r="AV77" s="513"/>
      <c r="BB77" s="39"/>
    </row>
    <row r="78" spans="1:54" s="117" customFormat="1" hidden="1">
      <c r="A78" s="34"/>
      <c r="B78" s="34"/>
      <c r="C78" s="34" t="s">
        <v>223</v>
      </c>
      <c r="D78" s="34">
        <v>1</v>
      </c>
      <c r="E78" s="34"/>
      <c r="F78" s="34"/>
      <c r="G78" s="34">
        <v>2</v>
      </c>
      <c r="H78" s="34"/>
      <c r="I78" s="34"/>
      <c r="J78" s="34">
        <v>3</v>
      </c>
      <c r="K78" s="34"/>
      <c r="L78" s="34"/>
      <c r="M78" s="34">
        <v>4</v>
      </c>
      <c r="N78" s="34"/>
      <c r="O78" s="34"/>
      <c r="P78" s="34">
        <v>5</v>
      </c>
      <c r="Q78" s="34"/>
      <c r="R78" s="34"/>
      <c r="S78" s="34">
        <v>6</v>
      </c>
      <c r="T78" s="34"/>
      <c r="U78" s="34"/>
      <c r="V78" s="34">
        <v>7</v>
      </c>
      <c r="W78" s="34"/>
      <c r="X78" s="34"/>
      <c r="Y78" s="34">
        <v>8</v>
      </c>
      <c r="Z78" s="34"/>
      <c r="AA78" s="34"/>
      <c r="AB78" s="34">
        <v>9</v>
      </c>
      <c r="AC78" s="34"/>
      <c r="AD78" s="34"/>
      <c r="AE78" s="34">
        <v>10</v>
      </c>
      <c r="AF78" s="3"/>
      <c r="AG78" s="34"/>
      <c r="AI78" s="169"/>
      <c r="AJ78" s="3"/>
      <c r="AK78" s="3"/>
      <c r="AL78" s="3"/>
      <c r="AM78" s="3"/>
      <c r="AN78" s="3"/>
      <c r="AO78" s="3"/>
      <c r="AT78" s="515" t="s">
        <v>224</v>
      </c>
      <c r="AU78" s="513"/>
      <c r="AV78" s="513"/>
      <c r="AW78" s="514"/>
      <c r="AX78" s="513"/>
      <c r="AY78" s="513"/>
      <c r="BB78" s="170"/>
    </row>
    <row r="79" spans="1:54" s="117" customFormat="1" hidden="1">
      <c r="A79" s="171">
        <v>1</v>
      </c>
      <c r="B79" s="171" t="str">
        <f>E8</f>
        <v>SC Midlands KP Boys</v>
      </c>
      <c r="C79" s="171">
        <f>VLOOKUP(B79,AU$3:BB$33,3,FALSE)</f>
        <v>1246.3704475419222</v>
      </c>
      <c r="D79" s="171">
        <f>IF(B72,B87,IF(D72,D87,C79))</f>
        <v>1267.703442496063</v>
      </c>
      <c r="E79" s="171"/>
      <c r="F79" s="171"/>
      <c r="G79" s="171">
        <f>IF(E72,E87,IF(G72,G87,D79))</f>
        <v>1267.703442496063</v>
      </c>
      <c r="H79" s="171"/>
      <c r="I79" s="171"/>
      <c r="J79" s="171">
        <f>IF(H72,H87,IF(J72,J87,G79))</f>
        <v>1263.649221203714</v>
      </c>
      <c r="K79" s="171"/>
      <c r="L79" s="171"/>
      <c r="M79" s="171">
        <f>IF(K72,K87,IF(M72,M87,J79))</f>
        <v>1263.649221203714</v>
      </c>
      <c r="N79" s="171"/>
      <c r="O79" s="171"/>
      <c r="P79" s="171">
        <f>IF(N72,N87,IF(P72,P87,M79))</f>
        <v>1263.649221203714</v>
      </c>
      <c r="Q79" s="171"/>
      <c r="R79" s="171"/>
      <c r="S79" s="171">
        <f>IF(Q72,Q87,IF(S72,S87,P79))</f>
        <v>1263.649221203714</v>
      </c>
      <c r="T79" s="171"/>
      <c r="U79" s="171"/>
      <c r="V79" s="171">
        <f>IF(T72,T87,IF(V72,V87,S79))</f>
        <v>1263.649221203714</v>
      </c>
      <c r="W79" s="171"/>
      <c r="X79" s="171"/>
      <c r="Y79" s="171">
        <f>IF(W72,W87,IF(Y72,Y87,V79))</f>
        <v>1263.649221203714</v>
      </c>
      <c r="Z79" s="171"/>
      <c r="AA79" s="171"/>
      <c r="AB79" s="171">
        <f>IF(Z72,Z87,IF(AB72,AB87,Y79))</f>
        <v>1263.649221203714</v>
      </c>
      <c r="AC79" s="171"/>
      <c r="AD79" s="171"/>
      <c r="AE79" s="171">
        <f>IF(AC72,AC87,IF(AE72,AE87,AB79))</f>
        <v>1263.649221203714</v>
      </c>
      <c r="AF79" s="3"/>
      <c r="AG79" s="3"/>
      <c r="AJ79" s="3"/>
      <c r="AK79" s="3"/>
      <c r="AL79" s="3"/>
      <c r="AM79" s="3"/>
      <c r="AN79" s="3"/>
      <c r="AO79" s="3"/>
      <c r="AT79" s="513" t="str">
        <f>B79</f>
        <v>SC Midlands KP Boys</v>
      </c>
      <c r="AU79" s="513">
        <f>AE79</f>
        <v>1263.649221203714</v>
      </c>
      <c r="AV79" s="513"/>
      <c r="AW79" s="514"/>
      <c r="AX79" s="513"/>
      <c r="AY79" s="513"/>
      <c r="BB79" s="170"/>
    </row>
    <row r="80" spans="1:54" s="117" customFormat="1" hidden="1">
      <c r="A80" s="171">
        <v>2</v>
      </c>
      <c r="B80" s="171" t="str">
        <f>E10</f>
        <v>SC Midlands KP White</v>
      </c>
      <c r="C80" s="171">
        <f>VLOOKUP(B80,AU$3:BB$33,3,FALSE)</f>
        <v>1207.6014825585389</v>
      </c>
      <c r="D80" s="171">
        <f>IF(B73,B87,IF(D73,D87,C80))</f>
        <v>1186.2684876043982</v>
      </c>
      <c r="E80" s="171"/>
      <c r="F80" s="171"/>
      <c r="G80" s="171">
        <f>IF(E73,E87,IF(G73,G87,D80))</f>
        <v>1162.1331471608514</v>
      </c>
      <c r="H80" s="171"/>
      <c r="I80" s="171"/>
      <c r="J80" s="171">
        <f>IF(H73,H87,IF(J73,J87,G80))</f>
        <v>1162.1331471608514</v>
      </c>
      <c r="K80" s="171"/>
      <c r="L80" s="171"/>
      <c r="M80" s="171">
        <f>IF(K73,K87,IF(M73,M87,J80))</f>
        <v>1162.1331471608514</v>
      </c>
      <c r="N80" s="171"/>
      <c r="O80" s="171"/>
      <c r="P80" s="171">
        <f>IF(N73,N87,IF(P73,P87,M80))</f>
        <v>1162.1331471608514</v>
      </c>
      <c r="Q80" s="171"/>
      <c r="R80" s="171"/>
      <c r="S80" s="171">
        <f>IF(Q73,Q87,IF(S73,S87,P80))</f>
        <v>1162.1331471608514</v>
      </c>
      <c r="T80" s="171"/>
      <c r="U80" s="171"/>
      <c r="V80" s="171">
        <f>IF(T73,T87,IF(V73,V87,S80))</f>
        <v>1162.1331471608514</v>
      </c>
      <c r="W80" s="171"/>
      <c r="X80" s="171"/>
      <c r="Y80" s="171">
        <f>IF(W73,W87,IF(Y73,Y87,V80))</f>
        <v>1162.1331471608514</v>
      </c>
      <c r="Z80" s="171"/>
      <c r="AA80" s="171"/>
      <c r="AB80" s="171">
        <f>IF(Z73,Z87,IF(AB73,AB87,Y80))</f>
        <v>1162.1331471608514</v>
      </c>
      <c r="AC80" s="171"/>
      <c r="AD80" s="171"/>
      <c r="AE80" s="171">
        <f>IF(AC73,AC87,IF(AE73,AE87,AB80))</f>
        <v>1162.1331471608514</v>
      </c>
      <c r="AF80" s="3"/>
      <c r="AG80" s="3"/>
      <c r="AJ80" s="3"/>
      <c r="AL80" s="3"/>
      <c r="AM80" s="3"/>
      <c r="AN80" s="3"/>
      <c r="AO80" s="3"/>
      <c r="AT80" s="513" t="str">
        <f>B80</f>
        <v>SC Midlands KP White</v>
      </c>
      <c r="AU80" s="513">
        <f>AE80</f>
        <v>1162.1331471608514</v>
      </c>
      <c r="AV80" s="513"/>
      <c r="AW80" s="514"/>
      <c r="AX80" s="513"/>
      <c r="AY80" s="513"/>
      <c r="BB80" s="170"/>
    </row>
    <row r="81" spans="1:54" s="117" customFormat="1" hidden="1">
      <c r="A81" s="171">
        <v>3</v>
      </c>
      <c r="B81" s="171" t="str">
        <f>E12</f>
        <v>Intense Kids power Gvl</v>
      </c>
      <c r="C81" s="171">
        <f>VLOOKUP(B81,AU$3:BB$33,3,FALSE)</f>
        <v>1184.3092132419554</v>
      </c>
      <c r="D81" s="171">
        <f>IF(B74,B87,IF(D74,D87,C81))</f>
        <v>1184.3092132419554</v>
      </c>
      <c r="E81" s="171"/>
      <c r="F81" s="171"/>
      <c r="G81" s="171">
        <f>IF(E74,E87,IF(G74,G87,D81))</f>
        <v>1208.4445536855023</v>
      </c>
      <c r="H81" s="171"/>
      <c r="I81" s="171"/>
      <c r="J81" s="171">
        <f>IF(H74,H87,IF(J74,J87,G81))</f>
        <v>1212.4987749778513</v>
      </c>
      <c r="K81" s="171"/>
      <c r="L81" s="171"/>
      <c r="M81" s="171">
        <f>IF(K74,K87,IF(M74,M87,J81))</f>
        <v>1212.4987749778513</v>
      </c>
      <c r="N81" s="171"/>
      <c r="O81" s="171"/>
      <c r="P81" s="171">
        <f>IF(N74,N87,IF(P74,P87,M81))</f>
        <v>1212.4987749778513</v>
      </c>
      <c r="Q81" s="171"/>
      <c r="R81" s="171"/>
      <c r="S81" s="171">
        <f>IF(Q74,Q87,IF(S74,S87,P81))</f>
        <v>1212.4987749778513</v>
      </c>
      <c r="T81" s="171"/>
      <c r="U81" s="171"/>
      <c r="V81" s="171">
        <f>IF(T74,T87,IF(V74,V87,S81))</f>
        <v>1212.4987749778513</v>
      </c>
      <c r="W81" s="171"/>
      <c r="X81" s="171"/>
      <c r="Y81" s="171">
        <f>IF(W74,W87,IF(Y74,Y87,V81))</f>
        <v>1212.4987749778513</v>
      </c>
      <c r="Z81" s="171"/>
      <c r="AA81" s="171"/>
      <c r="AB81" s="171">
        <f>IF(Z74,Z87,IF(AB74,AB87,Y81))</f>
        <v>1212.4987749778513</v>
      </c>
      <c r="AC81" s="171"/>
      <c r="AD81" s="171"/>
      <c r="AE81" s="171">
        <f>IF(AC74,AC87,IF(AE74,AE87,AB81))</f>
        <v>1212.4987749778513</v>
      </c>
      <c r="AF81" s="3"/>
      <c r="AG81" s="3"/>
      <c r="AJ81" s="3"/>
      <c r="AL81" s="3"/>
      <c r="AM81" s="3"/>
      <c r="AN81" s="3"/>
      <c r="AO81" s="3"/>
      <c r="AT81" s="513" t="str">
        <f>B81</f>
        <v>Intense Kids power Gvl</v>
      </c>
      <c r="AU81" s="513">
        <f>AE81</f>
        <v>1212.4987749778513</v>
      </c>
      <c r="AV81" s="513"/>
      <c r="AW81" s="514"/>
      <c r="AX81" s="513"/>
      <c r="AY81" s="513"/>
      <c r="BB81" s="170"/>
    </row>
    <row r="82" spans="1:54" s="117" customFormat="1" hidden="1">
      <c r="A82" s="171">
        <v>4</v>
      </c>
      <c r="B82" s="171" t="str">
        <f>E14</f>
        <v>Team 12</v>
      </c>
      <c r="C82" s="171">
        <f>VLOOKUP(B82,AU$3:BB$33,3,FALSE)</f>
        <v>2012</v>
      </c>
      <c r="D82" s="171">
        <f>IF(B75,B87,IF(D75,D87,C82))</f>
        <v>2012</v>
      </c>
      <c r="E82" s="171"/>
      <c r="F82" s="171"/>
      <c r="G82" s="171">
        <f>IF(E75,E87,IF(G75,G87,D82))</f>
        <v>2012</v>
      </c>
      <c r="H82" s="171"/>
      <c r="I82" s="171"/>
      <c r="J82" s="171">
        <f>IF(H75,H87,IF(J75,J87,G82))</f>
        <v>2012</v>
      </c>
      <c r="K82" s="171"/>
      <c r="L82" s="171"/>
      <c r="M82" s="171">
        <f>IF(K75,K87,IF(M75,M87,J82))</f>
        <v>2012</v>
      </c>
      <c r="N82" s="171"/>
      <c r="O82" s="171"/>
      <c r="P82" s="171">
        <f>IF(N75,N87,IF(P75,P87,M82))</f>
        <v>2012</v>
      </c>
      <c r="Q82" s="171"/>
      <c r="R82" s="171"/>
      <c r="S82" s="171">
        <f>IF(Q75,Q87,IF(S75,S87,P82))</f>
        <v>2012</v>
      </c>
      <c r="T82" s="171"/>
      <c r="U82" s="171"/>
      <c r="V82" s="171">
        <f>IF(T75,T87,IF(V75,V87,S82))</f>
        <v>2012</v>
      </c>
      <c r="W82" s="171"/>
      <c r="X82" s="171"/>
      <c r="Y82" s="171">
        <f>IF(W75,W87,IF(Y75,Y87,V82))</f>
        <v>2012</v>
      </c>
      <c r="Z82" s="171"/>
      <c r="AA82" s="171"/>
      <c r="AB82" s="171">
        <f>IF(Z75,Z87,IF(AB75,AB87,Y82))</f>
        <v>2012</v>
      </c>
      <c r="AC82" s="171"/>
      <c r="AD82" s="171"/>
      <c r="AE82" s="171">
        <f>IF(AC75,AC87,IF(AE75,AE87,AB82))</f>
        <v>2012</v>
      </c>
      <c r="AF82" s="3"/>
      <c r="AG82" s="3"/>
      <c r="AJ82" s="3"/>
      <c r="AL82" s="3"/>
      <c r="AM82" s="3"/>
      <c r="AN82" s="3"/>
      <c r="AO82" s="3"/>
      <c r="AT82" s="513" t="str">
        <f>B82</f>
        <v>Team 12</v>
      </c>
      <c r="AU82" s="513">
        <f>AE82</f>
        <v>2012</v>
      </c>
      <c r="AV82" s="513"/>
      <c r="AW82" s="514"/>
      <c r="AX82" s="513"/>
      <c r="AY82" s="513"/>
      <c r="BB82" s="170"/>
    </row>
    <row r="83" spans="1:54" s="117" customFormat="1" hidden="1">
      <c r="A83" s="171">
        <v>5</v>
      </c>
      <c r="B83" s="171">
        <f>E16</f>
        <v>0</v>
      </c>
      <c r="C83" s="171" t="e">
        <f>VLOOKUP(B83,AU$3:BB$33,3,FALSE)</f>
        <v>#N/A</v>
      </c>
      <c r="D83" s="171" t="e">
        <f>IF(B76,B87,IF(D76,D87,C83))</f>
        <v>#N/A</v>
      </c>
      <c r="E83" s="171"/>
      <c r="F83" s="171"/>
      <c r="G83" s="171" t="e">
        <f>IF(E76,E87,IF(G76,G87,D83))</f>
        <v>#N/A</v>
      </c>
      <c r="H83" s="171"/>
      <c r="I83" s="171"/>
      <c r="J83" s="171" t="e">
        <f>IF(H76,H87,IF(J76,J87,G83))</f>
        <v>#N/A</v>
      </c>
      <c r="K83" s="171"/>
      <c r="L83" s="171"/>
      <c r="M83" s="171" t="e">
        <f>IF(K76,K87,IF(M76,M87,J83))</f>
        <v>#N/A</v>
      </c>
      <c r="N83" s="171"/>
      <c r="O83" s="171"/>
      <c r="P83" s="171" t="e">
        <f>IF(N76,N87,IF(P76,P87,M83))</f>
        <v>#N/A</v>
      </c>
      <c r="Q83" s="171"/>
      <c r="R83" s="171"/>
      <c r="S83" s="171" t="e">
        <f>IF(Q76,Q87,IF(S76,S87,P83))</f>
        <v>#N/A</v>
      </c>
      <c r="T83" s="171"/>
      <c r="U83" s="171"/>
      <c r="V83" s="171" t="e">
        <f>IF(T76,T87,IF(V76,V87,S83))</f>
        <v>#N/A</v>
      </c>
      <c r="W83" s="171"/>
      <c r="X83" s="171"/>
      <c r="Y83" s="171" t="e">
        <f>IF(W76,W87,IF(Y76,Y87,V83))</f>
        <v>#N/A</v>
      </c>
      <c r="Z83" s="171"/>
      <c r="AA83" s="171"/>
      <c r="AB83" s="171" t="e">
        <f>IF(Z76,Z87,IF(AB76,AB87,Y83))</f>
        <v>#N/A</v>
      </c>
      <c r="AC83" s="171"/>
      <c r="AD83" s="171"/>
      <c r="AE83" s="171" t="e">
        <f>IF(AC76,AC87,IF(AE76,AE87,AB83))</f>
        <v>#N/A</v>
      </c>
      <c r="AF83" s="3"/>
      <c r="AG83" s="3"/>
      <c r="AJ83" s="3"/>
      <c r="AL83" s="3"/>
      <c r="AM83" s="3"/>
      <c r="AN83" s="3"/>
      <c r="AO83" s="3"/>
      <c r="AT83" s="513">
        <f>B83</f>
        <v>0</v>
      </c>
      <c r="AU83" s="513" t="e">
        <f>AE83</f>
        <v>#N/A</v>
      </c>
      <c r="AV83" s="513"/>
      <c r="AW83" s="514"/>
      <c r="AX83" s="513"/>
      <c r="AY83" s="513"/>
      <c r="BB83" s="170"/>
    </row>
    <row r="84" spans="1:54" s="117" customFormat="1" hidden="1">
      <c r="A84" s="171"/>
      <c r="B84" s="171"/>
      <c r="C84" s="171"/>
      <c r="D84" s="171"/>
      <c r="E84" s="171"/>
      <c r="F84" s="171"/>
      <c r="G84" s="171"/>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3"/>
      <c r="AG84" s="3"/>
      <c r="AJ84" s="3"/>
      <c r="AL84" s="3"/>
      <c r="AM84" s="3"/>
      <c r="AN84" s="3"/>
      <c r="AO84" s="3"/>
      <c r="AT84" s="513"/>
      <c r="AU84" s="513"/>
      <c r="AV84" s="513"/>
      <c r="AW84" s="514"/>
      <c r="AX84" s="513"/>
      <c r="AY84" s="513"/>
      <c r="BB84" s="170"/>
    </row>
    <row r="85" spans="1:54" s="117" customFormat="1" hidden="1">
      <c r="A85" s="171" t="s">
        <v>225</v>
      </c>
      <c r="B85" s="171">
        <f>VLOOKUP(B24,$A79:$AE83,3,FALSE)</f>
        <v>1246.3704475419222</v>
      </c>
      <c r="C85" s="171">
        <v>1</v>
      </c>
      <c r="D85" s="171">
        <f>VLOOKUP(D24,$A79:$AE83,3,FALSE)</f>
        <v>1207.6014825585389</v>
      </c>
      <c r="E85" s="171">
        <f>VLOOKUP(E24,$A79:$AE83,4,FALSE)</f>
        <v>1186.2684876043982</v>
      </c>
      <c r="F85" s="171">
        <v>2</v>
      </c>
      <c r="G85" s="171">
        <f>VLOOKUP(G24,$A79:$AE83,4,FALSE)</f>
        <v>1184.3092132419554</v>
      </c>
      <c r="H85" s="171">
        <f>VLOOKUP(H24,$A79:$AE83,7,FALSE)</f>
        <v>1267.703442496063</v>
      </c>
      <c r="I85" s="171">
        <v>3</v>
      </c>
      <c r="J85" s="171">
        <f>VLOOKUP(J24,$A79:$AE83,7,FALSE)</f>
        <v>1208.4445536855023</v>
      </c>
      <c r="K85" s="171" t="e">
        <f>VLOOKUP(K24,$A79:$AE83,10,FALSE)</f>
        <v>#N/A</v>
      </c>
      <c r="L85" s="171">
        <v>4</v>
      </c>
      <c r="M85" s="171" t="e">
        <f>VLOOKUP(M24,$A79:$AE83,10,FALSE)</f>
        <v>#N/A</v>
      </c>
      <c r="N85" s="171" t="e">
        <f>VLOOKUP(N24,$A79:$AE83,13,FALSE)</f>
        <v>#N/A</v>
      </c>
      <c r="O85" s="171">
        <v>5</v>
      </c>
      <c r="P85" s="171" t="e">
        <f>VLOOKUP(P24,$A79:$AE83,13,FALSE)</f>
        <v>#N/A</v>
      </c>
      <c r="Q85" s="171" t="e">
        <f>VLOOKUP(Q24,$A79:$AE83,16,FALSE)</f>
        <v>#N/A</v>
      </c>
      <c r="R85" s="171">
        <v>6</v>
      </c>
      <c r="S85" s="171" t="e">
        <f>VLOOKUP(S24,$A79:$AE83,16,FALSE)</f>
        <v>#N/A</v>
      </c>
      <c r="T85" s="171" t="e">
        <f>VLOOKUP(T24,$A79:$AE83,19,FALSE)</f>
        <v>#N/A</v>
      </c>
      <c r="U85" s="171">
        <v>7</v>
      </c>
      <c r="V85" s="171" t="e">
        <f>VLOOKUP(V24,$A79:$AE83,19,FALSE)</f>
        <v>#N/A</v>
      </c>
      <c r="W85" s="171" t="e">
        <f>VLOOKUP(W24,$A79:$AE83,22,FALSE)</f>
        <v>#N/A</v>
      </c>
      <c r="X85" s="171">
        <v>8</v>
      </c>
      <c r="Y85" s="171" t="e">
        <f>VLOOKUP(Y24,$A79:$AE83,22,FALSE)</f>
        <v>#N/A</v>
      </c>
      <c r="Z85" s="171" t="e">
        <f>VLOOKUP(Z24,$A79:$AE83,25,FALSE)</f>
        <v>#N/A</v>
      </c>
      <c r="AA85" s="171">
        <v>9</v>
      </c>
      <c r="AB85" s="171" t="e">
        <f>VLOOKUP(AB24,$A79:$AE83,25,FALSE)</f>
        <v>#N/A</v>
      </c>
      <c r="AC85" s="171" t="e">
        <f>VLOOKUP(AC24,$A79:$AE83,28,FALSE)</f>
        <v>#N/A</v>
      </c>
      <c r="AD85" s="171">
        <v>10</v>
      </c>
      <c r="AE85" s="171" t="e">
        <f>VLOOKUP(AE24,$A79:$AE83,28,FALSE)</f>
        <v>#N/A</v>
      </c>
      <c r="AF85" s="3"/>
      <c r="AG85" s="118"/>
      <c r="AH85" s="118"/>
      <c r="AI85" s="118"/>
      <c r="AJ85" s="118"/>
      <c r="AK85" s="118"/>
      <c r="AL85" s="118"/>
      <c r="AM85" s="118"/>
      <c r="AN85" s="119"/>
      <c r="AO85" s="119"/>
      <c r="AP85" s="119"/>
      <c r="AQ85" s="119"/>
      <c r="AT85" s="513"/>
      <c r="AU85" s="513"/>
      <c r="AV85" s="513"/>
      <c r="AW85" s="514"/>
      <c r="AX85" s="513"/>
      <c r="AY85" s="513"/>
      <c r="BB85" s="170"/>
    </row>
    <row r="86" spans="1:54" s="176" customFormat="1" hidden="1">
      <c r="A86" s="172" t="s">
        <v>226</v>
      </c>
      <c r="B86" s="172">
        <f>1/(1+(10^-((B85-D85)/400)))*(B36+D36)</f>
        <v>1.1111252102441327</v>
      </c>
      <c r="C86" s="172"/>
      <c r="D86" s="172">
        <f>1/(1+(10^-((D85-B85)/400)))*(B36+D36)</f>
        <v>0.8888747897558672</v>
      </c>
      <c r="E86" s="172">
        <f>1/(1+(10^-((E85-G85)/400)))*(E36+G36)</f>
        <v>1.0056391851477855</v>
      </c>
      <c r="F86" s="172"/>
      <c r="G86" s="172">
        <f>1/(1+(10^-((G85-E85)/400)))*(E36+G36)</f>
        <v>0.99436081485221461</v>
      </c>
      <c r="H86" s="172">
        <f>1/(1+(10^-((H85-J85)/400)))*(H36+J36)</f>
        <v>1.1689258871812056</v>
      </c>
      <c r="I86" s="172"/>
      <c r="J86" s="172">
        <f>1/(1+(10^-((J85-H85)/400)))*(H36+J36)</f>
        <v>0.83107411281879429</v>
      </c>
      <c r="K86" s="172" t="e">
        <f>1/(1+(10^-((K85-M85)/400)))*(K36+M36)</f>
        <v>#N/A</v>
      </c>
      <c r="L86" s="172"/>
      <c r="M86" s="172" t="e">
        <f>1/(1+(10^-((M85-K85)/400)))*(K36+M36)</f>
        <v>#N/A</v>
      </c>
      <c r="N86" s="172" t="e">
        <f>1/(1+(10^-((N85-P85)/400)))*(N36+P36)</f>
        <v>#N/A</v>
      </c>
      <c r="O86" s="172"/>
      <c r="P86" s="172" t="e">
        <f>1/(1+(10^-((P85-N85)/400)))*(N36+P36)</f>
        <v>#N/A</v>
      </c>
      <c r="Q86" s="172" t="e">
        <f>1/(1+(10^-((Q85-S85)/400)))*(Q36+S36)</f>
        <v>#N/A</v>
      </c>
      <c r="R86" s="172"/>
      <c r="S86" s="172" t="e">
        <f>1/(1+(10^-((S85-Q85)/400)))*(Q36+S36)</f>
        <v>#N/A</v>
      </c>
      <c r="T86" s="172" t="e">
        <f>1/(1+(10^-((T85-V85)/400)))*(T36+V36)</f>
        <v>#N/A</v>
      </c>
      <c r="U86" s="172"/>
      <c r="V86" s="172" t="e">
        <f>1/(1+(10^-((V85-T85)/400)))*(T36+V36)</f>
        <v>#N/A</v>
      </c>
      <c r="W86" s="172" t="e">
        <f>1/(1+(10^-((W85-Y85)/400)))*(W36+Y36)</f>
        <v>#N/A</v>
      </c>
      <c r="X86" s="172"/>
      <c r="Y86" s="172" t="e">
        <f>1/(1+(10^-((Y85-W85)/400)))*(W36+Y36)</f>
        <v>#N/A</v>
      </c>
      <c r="Z86" s="172" t="e">
        <f>1/(1+(10^-((Z85-AB85)/400)))*(Z36+AB36)</f>
        <v>#N/A</v>
      </c>
      <c r="AA86" s="172"/>
      <c r="AB86" s="172" t="e">
        <f>1/(1+(10^-((AB85-Z85)/400)))*(Z36+AB36)</f>
        <v>#N/A</v>
      </c>
      <c r="AC86" s="172" t="e">
        <f>1/(1+(10^-((AC85-AE85)/400)))*(AC36+AE36)</f>
        <v>#N/A</v>
      </c>
      <c r="AD86" s="172"/>
      <c r="AE86" s="172" t="e">
        <f>1/(1+(10^-((AE85-AC85)/400)))*(AC36+AE36)</f>
        <v>#N/A</v>
      </c>
      <c r="AF86" s="173"/>
      <c r="AG86" s="174"/>
      <c r="AH86" s="174"/>
      <c r="AI86" s="174"/>
      <c r="AJ86" s="174"/>
      <c r="AK86" s="174"/>
      <c r="AL86" s="174"/>
      <c r="AM86" s="174"/>
      <c r="AN86" s="175"/>
      <c r="AO86" s="175"/>
      <c r="AP86" s="175"/>
      <c r="AQ86" s="175"/>
      <c r="AT86" s="516"/>
      <c r="AU86" s="516"/>
      <c r="AV86" s="516"/>
      <c r="AW86" s="517"/>
      <c r="AX86" s="516"/>
      <c r="AY86" s="516"/>
      <c r="BB86" s="177"/>
    </row>
    <row r="87" spans="1:54" s="182" customFormat="1" hidden="1">
      <c r="A87" s="178" t="s">
        <v>227</v>
      </c>
      <c r="B87" s="178">
        <f>B85+(B36-B86)*$BA$1</f>
        <v>1267.703442496063</v>
      </c>
      <c r="C87" s="178"/>
      <c r="D87" s="178">
        <f>D85+(D36-D86)*$BA$1</f>
        <v>1186.2684876043982</v>
      </c>
      <c r="E87" s="178">
        <f>E85+(E36-E86)*$BA$1</f>
        <v>1162.1331471608514</v>
      </c>
      <c r="F87" s="178"/>
      <c r="G87" s="178">
        <f>G85+(G36-G86)*$BA$1</f>
        <v>1208.4445536855023</v>
      </c>
      <c r="H87" s="178">
        <f>H85+(H36-H86)*$BA$1</f>
        <v>1263.649221203714</v>
      </c>
      <c r="I87" s="178"/>
      <c r="J87" s="178">
        <f>J85+(J36-J86)*$BA$1</f>
        <v>1212.4987749778513</v>
      </c>
      <c r="K87" s="178" t="e">
        <f>K85+(K36-K86)*$BA$1</f>
        <v>#N/A</v>
      </c>
      <c r="L87" s="178"/>
      <c r="M87" s="178" t="e">
        <f>M85+(M36-M86)*$BA$1</f>
        <v>#N/A</v>
      </c>
      <c r="N87" s="178" t="e">
        <f>N85+(N36-N86)*$BA$1</f>
        <v>#N/A</v>
      </c>
      <c r="O87" s="178"/>
      <c r="P87" s="178" t="e">
        <f>P85+(P36-P86)*$BA$1</f>
        <v>#N/A</v>
      </c>
      <c r="Q87" s="178" t="e">
        <f>Q85+(Q36-Q86)*$BA$1</f>
        <v>#N/A</v>
      </c>
      <c r="R87" s="178"/>
      <c r="S87" s="178" t="e">
        <f>S85+(S36-S86)*$BA$1</f>
        <v>#N/A</v>
      </c>
      <c r="T87" s="178" t="e">
        <f>T85+(T36-T86)*$BA$1</f>
        <v>#N/A</v>
      </c>
      <c r="U87" s="178"/>
      <c r="V87" s="178" t="e">
        <f>V85+(V36-V86)*$BA$1</f>
        <v>#N/A</v>
      </c>
      <c r="W87" s="178" t="e">
        <f>W85+(W36-W86)*$BA$1</f>
        <v>#N/A</v>
      </c>
      <c r="X87" s="178"/>
      <c r="Y87" s="178" t="e">
        <f>Y85+(Y36-Y86)*$BA$1</f>
        <v>#N/A</v>
      </c>
      <c r="Z87" s="178" t="e">
        <f>Z85+(Z36-Z86)*$BA$1</f>
        <v>#N/A</v>
      </c>
      <c r="AA87" s="178"/>
      <c r="AB87" s="178" t="e">
        <f>AB85+(AB36-AB86)*$BA$1</f>
        <v>#N/A</v>
      </c>
      <c r="AC87" s="178" t="e">
        <f>AC85+(AC36-AC86)*$BA$1</f>
        <v>#N/A</v>
      </c>
      <c r="AD87" s="178"/>
      <c r="AE87" s="178" t="e">
        <f>AE85+(AE36-AE86)*$BA$1</f>
        <v>#N/A</v>
      </c>
      <c r="AF87" s="179"/>
      <c r="AG87" s="180"/>
      <c r="AH87" s="180"/>
      <c r="AI87" s="180"/>
      <c r="AJ87" s="180"/>
      <c r="AK87" s="180"/>
      <c r="AL87" s="180"/>
      <c r="AM87" s="180"/>
      <c r="AN87" s="181"/>
      <c r="AO87" s="181"/>
      <c r="AP87" s="181"/>
      <c r="AQ87" s="181"/>
      <c r="AT87" s="518"/>
      <c r="AU87" s="518"/>
      <c r="AV87" s="518"/>
      <c r="AW87" s="519"/>
      <c r="AX87" s="518"/>
      <c r="AY87" s="518"/>
      <c r="BB87" s="183"/>
    </row>
    <row r="88" spans="1:54" s="182" customFormat="1" hidden="1">
      <c r="A88" s="178"/>
      <c r="B88" s="178"/>
      <c r="C88" s="178"/>
      <c r="D88" s="178"/>
      <c r="E88" s="178"/>
      <c r="F88" s="178"/>
      <c r="G88" s="178"/>
      <c r="H88" s="178"/>
      <c r="I88" s="178"/>
      <c r="J88" s="178"/>
      <c r="K88" s="178"/>
      <c r="L88" s="178"/>
      <c r="M88" s="178"/>
      <c r="N88" s="178"/>
      <c r="O88" s="178"/>
      <c r="P88" s="178"/>
      <c r="Q88" s="178"/>
      <c r="R88" s="178"/>
      <c r="S88" s="178"/>
      <c r="T88" s="178"/>
      <c r="U88" s="178"/>
      <c r="V88" s="178"/>
      <c r="W88" s="178"/>
      <c r="X88" s="178"/>
      <c r="Y88" s="178"/>
      <c r="Z88" s="178"/>
      <c r="AA88" s="178"/>
      <c r="AB88" s="178"/>
      <c r="AC88" s="178"/>
      <c r="AD88" s="178"/>
      <c r="AE88" s="178"/>
      <c r="AF88" s="179"/>
      <c r="AG88" s="180"/>
      <c r="AH88" s="180"/>
      <c r="AI88" s="180"/>
      <c r="AJ88" s="180"/>
      <c r="AK88" s="180"/>
      <c r="AL88" s="180"/>
      <c r="AM88" s="180"/>
      <c r="AN88" s="181"/>
      <c r="AO88" s="181"/>
      <c r="AP88" s="181"/>
      <c r="AQ88" s="181"/>
      <c r="AT88" s="518"/>
      <c r="AU88" s="518"/>
      <c r="AV88" s="518"/>
      <c r="AW88" s="519"/>
      <c r="AX88" s="518"/>
      <c r="AY88" s="518"/>
      <c r="BB88" s="183"/>
    </row>
    <row r="89" spans="1:54" s="117" customFormat="1">
      <c r="A89" s="393" t="str">
        <f>IF($AK10=1,"Pool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Tiebreaker : 1) Games Won vs Lost (if 3 way tie then #5)  2) Head to Head  3) Head to Head Net Points  4) Game Win %  5) Total Pool Net Points  6) Flip a Coin</v>
      </c>
      <c r="B89" s="393"/>
      <c r="C89" s="393"/>
      <c r="D89" s="393"/>
      <c r="E89" s="393"/>
      <c r="F89" s="393"/>
      <c r="G89" s="393"/>
      <c r="H89" s="393"/>
      <c r="I89" s="393"/>
      <c r="J89" s="393"/>
      <c r="K89" s="393"/>
      <c r="L89" s="393"/>
      <c r="M89" s="393"/>
      <c r="N89" s="393"/>
      <c r="O89" s="393"/>
      <c r="P89" s="393"/>
      <c r="Q89" s="393"/>
      <c r="R89" s="393"/>
      <c r="S89" s="393"/>
      <c r="T89" s="393"/>
      <c r="U89" s="393"/>
      <c r="V89" s="393"/>
      <c r="W89" s="393"/>
      <c r="X89" s="393"/>
      <c r="Y89" s="393"/>
      <c r="Z89" s="393"/>
      <c r="AA89" s="393"/>
      <c r="AB89" s="393"/>
      <c r="AC89" s="393"/>
      <c r="AD89" s="393"/>
      <c r="AE89" s="393"/>
      <c r="AF89" s="393"/>
      <c r="AG89" s="393"/>
      <c r="AH89" s="393"/>
      <c r="AI89" s="393"/>
      <c r="AJ89" s="393"/>
      <c r="AK89" s="393"/>
      <c r="AL89" s="393"/>
      <c r="AM89" s="394"/>
      <c r="AN89" s="394"/>
      <c r="AO89" s="394"/>
      <c r="AP89" s="394"/>
      <c r="AT89" s="513"/>
      <c r="AU89" s="513"/>
      <c r="AV89" s="513"/>
      <c r="AW89" s="514"/>
      <c r="AX89" s="513"/>
      <c r="AY89" s="513"/>
    </row>
    <row r="90" spans="1:54" s="117" customFormat="1" ht="13.5" thickBot="1">
      <c r="A90" s="395"/>
      <c r="B90" s="395"/>
      <c r="C90" s="395"/>
      <c r="D90" s="395"/>
      <c r="E90" s="395"/>
      <c r="F90" s="395"/>
      <c r="G90" s="395"/>
      <c r="H90" s="395"/>
      <c r="I90" s="395"/>
      <c r="J90" s="395"/>
      <c r="K90" s="395"/>
      <c r="L90" s="395"/>
      <c r="M90" s="395"/>
      <c r="N90" s="395"/>
      <c r="O90" s="395"/>
      <c r="P90" s="395"/>
      <c r="Q90" s="395"/>
      <c r="R90" s="395"/>
      <c r="S90" s="395"/>
      <c r="T90" s="395"/>
      <c r="U90" s="395"/>
      <c r="V90" s="395"/>
      <c r="W90" s="395"/>
      <c r="X90" s="395"/>
      <c r="Y90" s="395"/>
      <c r="Z90" s="395"/>
      <c r="AA90" s="395"/>
      <c r="AB90" s="395"/>
      <c r="AC90" s="395"/>
      <c r="AD90" s="395"/>
      <c r="AE90" s="395"/>
      <c r="AF90" s="395"/>
      <c r="AG90" s="395"/>
      <c r="AH90" s="395"/>
      <c r="AI90" s="395"/>
      <c r="AJ90" s="395"/>
      <c r="AK90" s="395"/>
      <c r="AL90" s="395"/>
      <c r="AM90" s="395"/>
      <c r="AN90" s="395"/>
      <c r="AO90" s="395"/>
      <c r="AP90" s="395"/>
      <c r="AQ90" s="395"/>
      <c r="AT90" s="513"/>
      <c r="AU90" s="513"/>
      <c r="AV90" s="513"/>
      <c r="AW90" s="514"/>
      <c r="AX90" s="513"/>
      <c r="AY90" s="513"/>
    </row>
    <row r="91" spans="1:54" ht="24" customHeight="1" thickBot="1">
      <c r="A91" s="96" t="s">
        <v>16</v>
      </c>
      <c r="B91" s="150" t="s">
        <v>242</v>
      </c>
      <c r="C91" s="274" t="s">
        <v>188</v>
      </c>
      <c r="D91" s="275"/>
      <c r="E91" s="275"/>
      <c r="F91" s="275"/>
      <c r="G91" s="275"/>
      <c r="H91" s="276"/>
      <c r="I91" s="277">
        <v>2</v>
      </c>
      <c r="J91" s="278"/>
      <c r="K91" s="457" t="str">
        <f>"Pool "&amp;B91&amp;" - Round 2 - Court "&amp;I91</f>
        <v>Pool B2 - Round 2 - Court 2</v>
      </c>
      <c r="L91" s="458"/>
      <c r="M91" s="458"/>
      <c r="N91" s="458"/>
      <c r="O91" s="458"/>
      <c r="P91" s="458"/>
      <c r="Q91" s="458"/>
      <c r="R91" s="458"/>
      <c r="S91" s="458"/>
      <c r="T91" s="458"/>
      <c r="U91" s="458"/>
      <c r="V91" s="458"/>
      <c r="W91" s="458"/>
      <c r="X91" s="458"/>
      <c r="Y91" s="458"/>
      <c r="Z91" s="458"/>
      <c r="AA91" s="458"/>
      <c r="AB91" s="458"/>
      <c r="AC91" s="458"/>
      <c r="AD91" s="458"/>
      <c r="AE91" s="458"/>
      <c r="AF91" s="458"/>
      <c r="AG91" s="458"/>
      <c r="AH91" s="458"/>
      <c r="AI91" s="459"/>
      <c r="AJ91" s="1"/>
      <c r="AK91" s="1"/>
      <c r="AL91" s="1"/>
      <c r="AM91" s="1"/>
      <c r="AN91" s="1"/>
      <c r="AO91" s="1"/>
      <c r="AP91" s="1"/>
      <c r="AQ91" s="1"/>
    </row>
    <row r="92" spans="1:54" ht="27" customHeight="1" thickBot="1">
      <c r="A92" s="97" t="s">
        <v>17</v>
      </c>
      <c r="B92" s="282" t="s">
        <v>5</v>
      </c>
      <c r="C92" s="295"/>
      <c r="D92" s="295"/>
      <c r="E92" s="295"/>
      <c r="F92" s="295"/>
      <c r="G92" s="295"/>
      <c r="H92" s="295"/>
      <c r="I92" s="295"/>
      <c r="J92" s="295"/>
      <c r="K92" s="295"/>
      <c r="L92" s="282" t="str">
        <f>IF($AK95=0,"Games Won","Matches Won")</f>
        <v>Games Won</v>
      </c>
      <c r="M92" s="295"/>
      <c r="N92" s="295"/>
      <c r="O92" s="295"/>
      <c r="P92" s="295"/>
      <c r="Q92" s="296"/>
      <c r="R92" s="282" t="str">
        <f>IF($AK95=0,"Games Lost","Matches Lost")</f>
        <v>Games Lost</v>
      </c>
      <c r="S92" s="299"/>
      <c r="T92" s="299"/>
      <c r="U92" s="299"/>
      <c r="V92" s="300"/>
      <c r="W92" s="301" t="s">
        <v>18</v>
      </c>
      <c r="X92" s="302"/>
      <c r="Y92" s="303"/>
      <c r="Z92" s="301" t="s">
        <v>189</v>
      </c>
      <c r="AA92" s="302"/>
      <c r="AB92" s="303"/>
      <c r="AC92" s="312" t="s">
        <v>19</v>
      </c>
      <c r="AD92" s="313"/>
      <c r="AE92" s="314"/>
      <c r="AF92" s="98" t="s">
        <v>20</v>
      </c>
      <c r="AG92" s="151" t="s">
        <v>4</v>
      </c>
      <c r="AH92" s="315" t="s">
        <v>21</v>
      </c>
      <c r="AI92" s="316"/>
      <c r="AJ92" s="99"/>
      <c r="AK92" s="100">
        <v>2</v>
      </c>
      <c r="AL92" s="101" t="s">
        <v>22</v>
      </c>
      <c r="AM92" s="101"/>
      <c r="AN92" s="101"/>
      <c r="AO92" s="101"/>
      <c r="AP92" s="101"/>
      <c r="AQ92" s="101"/>
      <c r="AR92" s="102"/>
    </row>
    <row r="93" spans="1:54" ht="18.75" customHeight="1">
      <c r="A93" s="317" t="str">
        <f>IF($AK94&gt;0,"1","")</f>
        <v>1</v>
      </c>
      <c r="B93" s="319" t="s">
        <v>5</v>
      </c>
      <c r="C93" s="320"/>
      <c r="D93" s="321"/>
      <c r="E93" s="322" t="str">
        <f>'AM 9 Team Pool - Rnd 1'!$B$265</f>
        <v>Magnum 12 Black</v>
      </c>
      <c r="F93" s="323"/>
      <c r="G93" s="323"/>
      <c r="H93" s="323"/>
      <c r="I93" s="323"/>
      <c r="J93" s="323"/>
      <c r="K93" s="324"/>
      <c r="L93" s="304">
        <f>IF($AK95=0,AF149,AF131)</f>
        <v>4</v>
      </c>
      <c r="M93" s="305"/>
      <c r="N93" s="305"/>
      <c r="O93" s="305"/>
      <c r="P93" s="305"/>
      <c r="Q93" s="297"/>
      <c r="R93" s="304">
        <f>IF($AK95=0,AG149,AG131)</f>
        <v>0</v>
      </c>
      <c r="S93" s="305"/>
      <c r="T93" s="305"/>
      <c r="U93" s="305"/>
      <c r="V93" s="305"/>
      <c r="W93" s="304">
        <f>AQ109</f>
        <v>38</v>
      </c>
      <c r="X93" s="305"/>
      <c r="Y93" s="305"/>
      <c r="Z93" s="308">
        <f>IF(AF143&gt;0,(AQ109/AF143),0)</f>
        <v>0.46913580246913578</v>
      </c>
      <c r="AA93" s="309"/>
      <c r="AB93" s="309"/>
      <c r="AC93" s="325">
        <f>IF(AF157=0,0,(AF149/AF157))</f>
        <v>1</v>
      </c>
      <c r="AD93" s="326"/>
      <c r="AE93" s="327"/>
      <c r="AF93" s="331">
        <v>1</v>
      </c>
      <c r="AG93" s="331">
        <v>1</v>
      </c>
      <c r="AH93" s="333"/>
      <c r="AI93" s="334"/>
      <c r="AJ93" s="99"/>
      <c r="AK93" s="100">
        <v>3</v>
      </c>
      <c r="AL93" s="101" t="s">
        <v>23</v>
      </c>
      <c r="AM93" s="101"/>
      <c r="AN93" s="101"/>
      <c r="AO93" s="101"/>
      <c r="AP93" s="101"/>
      <c r="AQ93" s="101"/>
      <c r="AR93" s="102"/>
    </row>
    <row r="94" spans="1:54" ht="18.75" customHeight="1" thickBot="1">
      <c r="A94" s="318"/>
      <c r="B94" s="337" t="s">
        <v>6</v>
      </c>
      <c r="C94" s="338"/>
      <c r="D94" s="339"/>
      <c r="E94" s="340" t="str">
        <f>'AM 9 Team Pool - Rnd 1'!$F$265</f>
        <v>fj2magnm1pm</v>
      </c>
      <c r="F94" s="341"/>
      <c r="G94" s="341"/>
      <c r="H94" s="341"/>
      <c r="I94" s="341"/>
      <c r="J94" s="341"/>
      <c r="K94" s="341"/>
      <c r="L94" s="306"/>
      <c r="M94" s="307"/>
      <c r="N94" s="307"/>
      <c r="O94" s="307"/>
      <c r="P94" s="307"/>
      <c r="Q94" s="297"/>
      <c r="R94" s="306"/>
      <c r="S94" s="307"/>
      <c r="T94" s="307"/>
      <c r="U94" s="307"/>
      <c r="V94" s="307"/>
      <c r="W94" s="306"/>
      <c r="X94" s="307"/>
      <c r="Y94" s="307"/>
      <c r="Z94" s="310"/>
      <c r="AA94" s="311"/>
      <c r="AB94" s="311"/>
      <c r="AC94" s="328"/>
      <c r="AD94" s="329"/>
      <c r="AE94" s="330"/>
      <c r="AF94" s="332"/>
      <c r="AG94" s="332"/>
      <c r="AH94" s="335"/>
      <c r="AI94" s="336"/>
      <c r="AJ94" s="99"/>
      <c r="AK94" s="100">
        <v>3</v>
      </c>
      <c r="AL94" s="101" t="s">
        <v>190</v>
      </c>
      <c r="AM94" s="99"/>
      <c r="AN94" s="99"/>
      <c r="AO94" s="99"/>
      <c r="AP94" s="99"/>
      <c r="AQ94" s="99"/>
      <c r="AR94" s="46"/>
    </row>
    <row r="95" spans="1:54" ht="18.75" customHeight="1">
      <c r="A95" s="317" t="str">
        <f>IF($AK94&gt;1,"2","")</f>
        <v>2</v>
      </c>
      <c r="B95" s="319" t="s">
        <v>5</v>
      </c>
      <c r="C95" s="320"/>
      <c r="D95" s="321"/>
      <c r="E95" s="322" t="str">
        <f>'AM 9 Team Pool - Rnd 1'!$M$266</f>
        <v>Excell U12 Devel</v>
      </c>
      <c r="F95" s="323"/>
      <c r="G95" s="323"/>
      <c r="H95" s="323"/>
      <c r="I95" s="323"/>
      <c r="J95" s="323"/>
      <c r="K95" s="324"/>
      <c r="L95" s="304">
        <f>IF($AK95=0,AF150,AF132)</f>
        <v>1</v>
      </c>
      <c r="M95" s="305"/>
      <c r="N95" s="305"/>
      <c r="O95" s="305"/>
      <c r="P95" s="305"/>
      <c r="Q95" s="297"/>
      <c r="R95" s="304">
        <f>IF($AK95=0,AG150,AG132)</f>
        <v>3</v>
      </c>
      <c r="S95" s="305"/>
      <c r="T95" s="305"/>
      <c r="U95" s="305"/>
      <c r="V95" s="305"/>
      <c r="W95" s="304">
        <f>AQ110</f>
        <v>-16</v>
      </c>
      <c r="X95" s="305"/>
      <c r="Y95" s="305"/>
      <c r="Z95" s="308">
        <f>IF(AF144&gt;0,(AQ110/AF144),0)</f>
        <v>-0.2</v>
      </c>
      <c r="AA95" s="309"/>
      <c r="AB95" s="309"/>
      <c r="AC95" s="325">
        <f>IF(AF158=0,0,(AF150/AF158))</f>
        <v>0.25</v>
      </c>
      <c r="AD95" s="326"/>
      <c r="AE95" s="327"/>
      <c r="AF95" s="331">
        <v>2</v>
      </c>
      <c r="AG95" s="331">
        <v>3</v>
      </c>
      <c r="AH95" s="333"/>
      <c r="AI95" s="334"/>
      <c r="AJ95" s="99"/>
      <c r="AK95" s="100">
        <v>0</v>
      </c>
      <c r="AL95" s="101" t="s">
        <v>24</v>
      </c>
      <c r="AM95" s="101"/>
      <c r="AN95" s="101"/>
      <c r="AO95" s="101"/>
      <c r="AP95" s="101"/>
      <c r="AQ95" s="101"/>
      <c r="AR95" s="102"/>
    </row>
    <row r="96" spans="1:54" ht="18.75" customHeight="1" thickBot="1">
      <c r="A96" s="318"/>
      <c r="B96" s="342" t="s">
        <v>6</v>
      </c>
      <c r="C96" s="343"/>
      <c r="D96" s="343"/>
      <c r="E96" s="340" t="str">
        <f>'AM 9 Team Pool - Rnd 1'!$R$266</f>
        <v>fj2191642pm</v>
      </c>
      <c r="F96" s="341"/>
      <c r="G96" s="341"/>
      <c r="H96" s="341"/>
      <c r="I96" s="341"/>
      <c r="J96" s="341"/>
      <c r="K96" s="341"/>
      <c r="L96" s="306"/>
      <c r="M96" s="307"/>
      <c r="N96" s="307"/>
      <c r="O96" s="307"/>
      <c r="P96" s="307"/>
      <c r="Q96" s="297"/>
      <c r="R96" s="306"/>
      <c r="S96" s="307"/>
      <c r="T96" s="307"/>
      <c r="U96" s="307"/>
      <c r="V96" s="307"/>
      <c r="W96" s="306"/>
      <c r="X96" s="307"/>
      <c r="Y96" s="307"/>
      <c r="Z96" s="310"/>
      <c r="AA96" s="311"/>
      <c r="AB96" s="311"/>
      <c r="AC96" s="328"/>
      <c r="AD96" s="329"/>
      <c r="AE96" s="330"/>
      <c r="AF96" s="332"/>
      <c r="AG96" s="332"/>
      <c r="AH96" s="335"/>
      <c r="AI96" s="336"/>
      <c r="AJ96" s="99"/>
      <c r="AK96" s="100">
        <v>1</v>
      </c>
      <c r="AL96" s="101" t="s">
        <v>25</v>
      </c>
      <c r="AM96" s="99"/>
      <c r="AN96" s="99"/>
      <c r="AO96" s="99"/>
      <c r="AP96" s="99"/>
      <c r="AQ96" s="99"/>
      <c r="AR96" s="46"/>
    </row>
    <row r="97" spans="1:44" ht="18.75" customHeight="1">
      <c r="A97" s="317" t="str">
        <f>IF($AK94&gt;2,"3","")</f>
        <v>3</v>
      </c>
      <c r="B97" s="344" t="s">
        <v>5</v>
      </c>
      <c r="C97" s="345"/>
      <c r="D97" s="345"/>
      <c r="E97" s="322" t="str">
        <f>'AM 9 Team Pool - Rnd 1'!$X$264</f>
        <v>Columbia SC Starlings 12</v>
      </c>
      <c r="F97" s="323"/>
      <c r="G97" s="323"/>
      <c r="H97" s="323"/>
      <c r="I97" s="323"/>
      <c r="J97" s="323"/>
      <c r="K97" s="324"/>
      <c r="L97" s="304">
        <f>IF($AK95=0,AF151,AF133)</f>
        <v>1</v>
      </c>
      <c r="M97" s="305"/>
      <c r="N97" s="305"/>
      <c r="O97" s="305"/>
      <c r="P97" s="305"/>
      <c r="Q97" s="297"/>
      <c r="R97" s="304">
        <f>IF($AK95=0,AG151,AG133)</f>
        <v>3</v>
      </c>
      <c r="S97" s="305"/>
      <c r="T97" s="305"/>
      <c r="U97" s="305"/>
      <c r="V97" s="305"/>
      <c r="W97" s="304">
        <f>AQ111</f>
        <v>-22</v>
      </c>
      <c r="X97" s="305"/>
      <c r="Y97" s="305"/>
      <c r="Z97" s="308">
        <f>IF(AF145&gt;0,(AQ111/AF145),0)</f>
        <v>-0.27160493827160492</v>
      </c>
      <c r="AA97" s="309"/>
      <c r="AB97" s="309"/>
      <c r="AC97" s="325">
        <f>IF(AF159=0,0,(AF151/AF159))</f>
        <v>0.25</v>
      </c>
      <c r="AD97" s="326"/>
      <c r="AE97" s="327"/>
      <c r="AF97" s="331">
        <v>3</v>
      </c>
      <c r="AG97" s="331">
        <v>3</v>
      </c>
      <c r="AH97" s="333"/>
      <c r="AI97" s="334"/>
      <c r="AJ97" s="103"/>
      <c r="AK97" s="100">
        <v>4</v>
      </c>
      <c r="AL97" s="152" t="s">
        <v>191</v>
      </c>
      <c r="AM97" s="101"/>
      <c r="AN97" s="101"/>
      <c r="AO97" s="101"/>
      <c r="AP97" s="101"/>
      <c r="AQ97" s="101"/>
      <c r="AR97" s="102"/>
    </row>
    <row r="98" spans="1:44" ht="18.75" customHeight="1" thickBot="1">
      <c r="A98" s="318"/>
      <c r="B98" s="342" t="s">
        <v>6</v>
      </c>
      <c r="C98" s="343"/>
      <c r="D98" s="343"/>
      <c r="E98" s="340" t="str">
        <f>'AM 9 Team Pool - Rnd 1'!$AC$264</f>
        <v>fj2starl1pm</v>
      </c>
      <c r="F98" s="341"/>
      <c r="G98" s="341"/>
      <c r="H98" s="341"/>
      <c r="I98" s="341"/>
      <c r="J98" s="341"/>
      <c r="K98" s="341"/>
      <c r="L98" s="306"/>
      <c r="M98" s="307"/>
      <c r="N98" s="307"/>
      <c r="O98" s="307"/>
      <c r="P98" s="307"/>
      <c r="Q98" s="297"/>
      <c r="R98" s="306"/>
      <c r="S98" s="307"/>
      <c r="T98" s="307"/>
      <c r="U98" s="307"/>
      <c r="V98" s="307"/>
      <c r="W98" s="306"/>
      <c r="X98" s="307"/>
      <c r="Y98" s="307"/>
      <c r="Z98" s="310"/>
      <c r="AA98" s="311"/>
      <c r="AB98" s="311"/>
      <c r="AC98" s="328"/>
      <c r="AD98" s="329"/>
      <c r="AE98" s="330"/>
      <c r="AF98" s="332"/>
      <c r="AG98" s="332"/>
      <c r="AH98" s="335"/>
      <c r="AI98" s="336"/>
      <c r="AJ98" s="103"/>
      <c r="AK98" s="153"/>
      <c r="AL98" s="154"/>
      <c r="AM98" s="154"/>
      <c r="AN98" s="154"/>
      <c r="AO98" s="154"/>
      <c r="AP98" s="154"/>
      <c r="AQ98" s="99"/>
      <c r="AR98" s="46"/>
    </row>
    <row r="99" spans="1:44" ht="18.75" hidden="1" customHeight="1">
      <c r="A99" s="317" t="str">
        <f>IF($AK94&gt;3,"4","")</f>
        <v/>
      </c>
      <c r="B99" s="344" t="s">
        <v>5</v>
      </c>
      <c r="C99" s="345"/>
      <c r="D99" s="345"/>
      <c r="E99" s="322" t="str">
        <f>AU13</f>
        <v>Team 11</v>
      </c>
      <c r="F99" s="323"/>
      <c r="G99" s="323"/>
      <c r="H99" s="323"/>
      <c r="I99" s="323"/>
      <c r="J99" s="323"/>
      <c r="K99" s="324"/>
      <c r="L99" s="304">
        <f>IF($AK95=0,AF152,AF134)</f>
        <v>0</v>
      </c>
      <c r="M99" s="305"/>
      <c r="N99" s="305"/>
      <c r="O99" s="305"/>
      <c r="P99" s="305"/>
      <c r="Q99" s="297"/>
      <c r="R99" s="304">
        <f>IF($AK95=0,AG152,AG134)</f>
        <v>0</v>
      </c>
      <c r="S99" s="305"/>
      <c r="T99" s="305"/>
      <c r="U99" s="305"/>
      <c r="V99" s="305"/>
      <c r="W99" s="304">
        <f>AQ112</f>
        <v>0</v>
      </c>
      <c r="X99" s="305"/>
      <c r="Y99" s="305"/>
      <c r="Z99" s="308">
        <f>IF(AF146&gt;0,(AQ112/AF146),0)</f>
        <v>0</v>
      </c>
      <c r="AA99" s="309"/>
      <c r="AB99" s="309"/>
      <c r="AC99" s="325">
        <f>IF(AF160=0,0,(AF152/AF160))</f>
        <v>0</v>
      </c>
      <c r="AD99" s="326"/>
      <c r="AE99" s="327"/>
      <c r="AF99" s="331"/>
      <c r="AG99" s="331"/>
      <c r="AH99" s="333"/>
      <c r="AI99" s="334"/>
      <c r="AJ99" s="1"/>
      <c r="AK99" s="154"/>
      <c r="AL99" s="154"/>
      <c r="AM99" s="154"/>
      <c r="AN99" s="154"/>
      <c r="AO99" s="154"/>
      <c r="AP99" s="154"/>
      <c r="AQ99" s="101"/>
      <c r="AR99" s="102"/>
    </row>
    <row r="100" spans="1:44" ht="18.75" hidden="1" customHeight="1" thickBot="1">
      <c r="A100" s="318"/>
      <c r="B100" s="342" t="s">
        <v>6</v>
      </c>
      <c r="C100" s="343"/>
      <c r="D100" s="343"/>
      <c r="E100" s="340" t="str">
        <f>AV13</f>
        <v>Code 11</v>
      </c>
      <c r="F100" s="341"/>
      <c r="G100" s="341"/>
      <c r="H100" s="341"/>
      <c r="I100" s="341"/>
      <c r="J100" s="341"/>
      <c r="K100" s="341"/>
      <c r="L100" s="306"/>
      <c r="M100" s="307"/>
      <c r="N100" s="307"/>
      <c r="O100" s="307"/>
      <c r="P100" s="307"/>
      <c r="Q100" s="297"/>
      <c r="R100" s="306"/>
      <c r="S100" s="307"/>
      <c r="T100" s="307"/>
      <c r="U100" s="307"/>
      <c r="V100" s="307"/>
      <c r="W100" s="306"/>
      <c r="X100" s="307"/>
      <c r="Y100" s="307"/>
      <c r="Z100" s="310"/>
      <c r="AA100" s="311"/>
      <c r="AB100" s="311"/>
      <c r="AC100" s="328"/>
      <c r="AD100" s="329"/>
      <c r="AE100" s="330"/>
      <c r="AF100" s="332"/>
      <c r="AG100" s="332"/>
      <c r="AH100" s="335"/>
      <c r="AI100" s="336"/>
      <c r="AJ100" s="1"/>
      <c r="AK100" s="154"/>
      <c r="AL100" s="154"/>
      <c r="AM100" s="154"/>
      <c r="AN100" s="154"/>
      <c r="AO100" s="154"/>
      <c r="AP100" s="154"/>
      <c r="AQ100" s="1"/>
      <c r="AR100" s="46"/>
    </row>
    <row r="101" spans="1:44" ht="18.75" hidden="1" customHeight="1">
      <c r="A101" s="317" t="str">
        <f>IF($AK94&gt;4,"5","")</f>
        <v/>
      </c>
      <c r="B101" s="344" t="s">
        <v>5</v>
      </c>
      <c r="C101" s="345"/>
      <c r="D101" s="345"/>
      <c r="E101" s="346">
        <f>AU16</f>
        <v>0</v>
      </c>
      <c r="F101" s="347"/>
      <c r="G101" s="347"/>
      <c r="H101" s="347"/>
      <c r="I101" s="347"/>
      <c r="J101" s="347"/>
      <c r="K101" s="348"/>
      <c r="L101" s="304">
        <f>IF($AK95=0,AF153,AF135)</f>
        <v>0</v>
      </c>
      <c r="M101" s="305"/>
      <c r="N101" s="305"/>
      <c r="O101" s="305"/>
      <c r="P101" s="305"/>
      <c r="Q101" s="297"/>
      <c r="R101" s="304">
        <f>IF($AK95=0,AG153,AG135)</f>
        <v>0</v>
      </c>
      <c r="S101" s="305"/>
      <c r="T101" s="305"/>
      <c r="U101" s="305"/>
      <c r="V101" s="305"/>
      <c r="W101" s="304">
        <f>AQ113</f>
        <v>0</v>
      </c>
      <c r="X101" s="305"/>
      <c r="Y101" s="305"/>
      <c r="Z101" s="308">
        <f>IF(AF147&gt;0,(AQ113/AF147),0)</f>
        <v>0</v>
      </c>
      <c r="AA101" s="309"/>
      <c r="AB101" s="309"/>
      <c r="AC101" s="325">
        <f>IF(AF161=0,0,(AF153/AF161))</f>
        <v>0</v>
      </c>
      <c r="AD101" s="326"/>
      <c r="AE101" s="327"/>
      <c r="AF101" s="331"/>
      <c r="AG101" s="331"/>
      <c r="AH101" s="333"/>
      <c r="AI101" s="334"/>
      <c r="AJ101" s="1"/>
      <c r="AK101" s="154"/>
      <c r="AL101" s="154"/>
      <c r="AM101" s="154"/>
      <c r="AN101" s="154"/>
      <c r="AO101" s="154"/>
      <c r="AP101" s="154"/>
      <c r="AQ101" s="1"/>
      <c r="AR101" s="46"/>
    </row>
    <row r="102" spans="1:44" ht="18.75" hidden="1" customHeight="1" thickBot="1">
      <c r="A102" s="318"/>
      <c r="B102" s="359" t="s">
        <v>6</v>
      </c>
      <c r="C102" s="360"/>
      <c r="D102" s="360"/>
      <c r="E102" s="361">
        <f>AV16</f>
        <v>0</v>
      </c>
      <c r="F102" s="362"/>
      <c r="G102" s="362"/>
      <c r="H102" s="362"/>
      <c r="I102" s="362"/>
      <c r="J102" s="362"/>
      <c r="K102" s="362"/>
      <c r="L102" s="349"/>
      <c r="M102" s="350"/>
      <c r="N102" s="350"/>
      <c r="O102" s="350"/>
      <c r="P102" s="350"/>
      <c r="Q102" s="298"/>
      <c r="R102" s="349"/>
      <c r="S102" s="350"/>
      <c r="T102" s="350"/>
      <c r="U102" s="350"/>
      <c r="V102" s="350"/>
      <c r="W102" s="349"/>
      <c r="X102" s="350"/>
      <c r="Y102" s="350"/>
      <c r="Z102" s="351"/>
      <c r="AA102" s="352"/>
      <c r="AB102" s="352"/>
      <c r="AC102" s="353"/>
      <c r="AD102" s="354"/>
      <c r="AE102" s="355"/>
      <c r="AF102" s="356"/>
      <c r="AG102" s="356"/>
      <c r="AH102" s="357"/>
      <c r="AI102" s="358"/>
      <c r="AJ102" s="1"/>
      <c r="AK102" s="154"/>
      <c r="AL102" s="154"/>
      <c r="AM102" s="154"/>
      <c r="AN102" s="154"/>
      <c r="AO102" s="154"/>
      <c r="AP102" s="154"/>
      <c r="AQ102" s="1"/>
      <c r="AR102" s="46"/>
    </row>
    <row r="103" spans="1:44" ht="21" customHeight="1" thickTop="1" thickBot="1">
      <c r="A103" s="106"/>
      <c r="B103" s="363" t="s">
        <v>198</v>
      </c>
      <c r="C103" s="364"/>
      <c r="D103" s="364"/>
      <c r="E103" s="364"/>
      <c r="F103" s="364"/>
      <c r="G103" s="364"/>
      <c r="H103" s="364"/>
      <c r="I103" s="364"/>
      <c r="J103" s="364"/>
      <c r="K103" s="364"/>
      <c r="L103" s="364"/>
      <c r="M103" s="364"/>
      <c r="N103" s="364"/>
      <c r="O103" s="364"/>
      <c r="P103" s="364"/>
      <c r="Q103" s="364"/>
      <c r="R103" s="364"/>
      <c r="S103" s="364"/>
      <c r="T103" s="364"/>
      <c r="U103" s="364"/>
      <c r="V103" s="364"/>
      <c r="W103" s="364"/>
      <c r="X103" s="364"/>
      <c r="Y103" s="364"/>
      <c r="Z103" s="364"/>
      <c r="AA103" s="364"/>
      <c r="AB103" s="364"/>
      <c r="AC103" s="364"/>
      <c r="AD103" s="364"/>
      <c r="AE103" s="364"/>
      <c r="AF103" s="364"/>
      <c r="AG103" s="364"/>
      <c r="AH103" s="364"/>
      <c r="AI103" s="365"/>
      <c r="AJ103" s="1"/>
      <c r="AK103" s="154"/>
      <c r="AL103" s="154"/>
      <c r="AM103" s="154"/>
      <c r="AN103" s="154"/>
      <c r="AO103" s="154"/>
      <c r="AP103" s="154"/>
      <c r="AQ103" s="1"/>
      <c r="AR103" s="46"/>
    </row>
    <row r="104" spans="1:44" ht="13.5" thickTop="1">
      <c r="A104" s="3" t="s">
        <v>27</v>
      </c>
      <c r="B104" s="372">
        <v>0.42708333333333331</v>
      </c>
      <c r="C104" s="373"/>
      <c r="D104" s="374"/>
      <c r="E104" s="372">
        <v>0.44791666666666669</v>
      </c>
      <c r="F104" s="373"/>
      <c r="G104" s="374"/>
      <c r="H104" s="372">
        <v>0.46875</v>
      </c>
      <c r="I104" s="373"/>
      <c r="J104" s="374"/>
      <c r="K104" s="372">
        <v>0.47916666666666669</v>
      </c>
      <c r="L104" s="373"/>
      <c r="M104" s="374"/>
      <c r="N104" s="372">
        <v>0.52083333333333337</v>
      </c>
      <c r="O104" s="373"/>
      <c r="P104" s="374"/>
      <c r="Q104" s="372">
        <v>6.25E-2</v>
      </c>
      <c r="R104" s="373"/>
      <c r="S104" s="374"/>
      <c r="T104" s="372"/>
      <c r="U104" s="373"/>
      <c r="V104" s="374"/>
      <c r="W104" s="372"/>
      <c r="X104" s="373"/>
      <c r="Y104" s="374"/>
      <c r="Z104" s="372"/>
      <c r="AA104" s="373"/>
      <c r="AB104" s="374"/>
      <c r="AC104" s="372"/>
      <c r="AD104" s="373"/>
      <c r="AE104" s="374"/>
      <c r="AF104" s="375" t="s">
        <v>199</v>
      </c>
      <c r="AG104" s="376"/>
      <c r="AH104" s="376"/>
      <c r="AI104" s="376"/>
      <c r="AJ104" s="377"/>
      <c r="AK104" s="377"/>
      <c r="AL104" s="377"/>
      <c r="AM104" s="377"/>
      <c r="AN104" s="377"/>
      <c r="AO104" s="377"/>
      <c r="AP104" s="377"/>
      <c r="AQ104" s="378"/>
    </row>
    <row r="105" spans="1:44">
      <c r="A105" s="107" t="s">
        <v>28</v>
      </c>
      <c r="B105" s="383"/>
      <c r="C105" s="384"/>
      <c r="D105" s="385"/>
      <c r="E105" s="383"/>
      <c r="F105" s="384"/>
      <c r="G105" s="385"/>
      <c r="H105" s="383"/>
      <c r="I105" s="384"/>
      <c r="J105" s="385"/>
      <c r="K105" s="383"/>
      <c r="L105" s="384"/>
      <c r="M105" s="385"/>
      <c r="N105" s="383"/>
      <c r="O105" s="384"/>
      <c r="P105" s="385"/>
      <c r="Q105" s="383"/>
      <c r="R105" s="384"/>
      <c r="S105" s="385"/>
      <c r="T105" s="383"/>
      <c r="U105" s="384"/>
      <c r="V105" s="385"/>
      <c r="W105" s="383"/>
      <c r="X105" s="384"/>
      <c r="Y105" s="385"/>
      <c r="Z105" s="383"/>
      <c r="AA105" s="384"/>
      <c r="AB105" s="385"/>
      <c r="AC105" s="383"/>
      <c r="AD105" s="384"/>
      <c r="AE105" s="385"/>
      <c r="AF105" s="375"/>
      <c r="AG105" s="376"/>
      <c r="AH105" s="376"/>
      <c r="AI105" s="376"/>
      <c r="AJ105" s="376"/>
      <c r="AK105" s="376"/>
      <c r="AL105" s="376"/>
      <c r="AM105" s="376"/>
      <c r="AN105" s="376"/>
      <c r="AO105" s="376"/>
      <c r="AP105" s="376"/>
      <c r="AQ105" s="379"/>
    </row>
    <row r="106" spans="1:44">
      <c r="A106" s="107" t="s">
        <v>29</v>
      </c>
      <c r="B106" s="383"/>
      <c r="C106" s="384"/>
      <c r="D106" s="385"/>
      <c r="E106" s="383"/>
      <c r="F106" s="384"/>
      <c r="G106" s="385"/>
      <c r="H106" s="383"/>
      <c r="I106" s="384"/>
      <c r="J106" s="385"/>
      <c r="K106" s="383"/>
      <c r="L106" s="384"/>
      <c r="M106" s="385"/>
      <c r="N106" s="383"/>
      <c r="O106" s="384"/>
      <c r="P106" s="385"/>
      <c r="Q106" s="383"/>
      <c r="R106" s="384"/>
      <c r="S106" s="385"/>
      <c r="T106" s="383"/>
      <c r="U106" s="384"/>
      <c r="V106" s="385"/>
      <c r="W106" s="383"/>
      <c r="X106" s="384"/>
      <c r="Y106" s="385"/>
      <c r="Z106" s="383"/>
      <c r="AA106" s="384"/>
      <c r="AB106" s="385"/>
      <c r="AC106" s="383"/>
      <c r="AD106" s="384"/>
      <c r="AE106" s="385"/>
      <c r="AF106" s="375"/>
      <c r="AG106" s="376"/>
      <c r="AH106" s="376"/>
      <c r="AI106" s="376"/>
      <c r="AJ106" s="376"/>
      <c r="AK106" s="376"/>
      <c r="AL106" s="376"/>
      <c r="AM106" s="376"/>
      <c r="AN106" s="376"/>
      <c r="AO106" s="376"/>
      <c r="AP106" s="376"/>
      <c r="AQ106" s="379"/>
    </row>
    <row r="107" spans="1:44" ht="13.5" thickBot="1">
      <c r="A107" s="1"/>
      <c r="B107" s="386" t="s">
        <v>30</v>
      </c>
      <c r="C107" s="387"/>
      <c r="D107" s="388"/>
      <c r="E107" s="386" t="str">
        <f>IF(AK93&gt;1,"Match 2","")</f>
        <v>Match 2</v>
      </c>
      <c r="F107" s="387"/>
      <c r="G107" s="388"/>
      <c r="H107" s="386" t="str">
        <f>IF(AK93&gt;2,"Match 3","")</f>
        <v>Match 3</v>
      </c>
      <c r="I107" s="387"/>
      <c r="J107" s="388"/>
      <c r="K107" s="386" t="str">
        <f>IF(AK93&gt;3,"Match 4","")</f>
        <v/>
      </c>
      <c r="L107" s="387"/>
      <c r="M107" s="388"/>
      <c r="N107" s="386" t="str">
        <f>IF(AK93&gt;4,"Match 5","")</f>
        <v/>
      </c>
      <c r="O107" s="387"/>
      <c r="P107" s="388"/>
      <c r="Q107" s="386" t="str">
        <f>IF(AK93&gt;5,"Match 6","")</f>
        <v/>
      </c>
      <c r="R107" s="387"/>
      <c r="S107" s="388"/>
      <c r="T107" s="386" t="str">
        <f>IF(AK93&gt;6,"Match 7","")</f>
        <v/>
      </c>
      <c r="U107" s="387"/>
      <c r="V107" s="388"/>
      <c r="W107" s="386" t="str">
        <f>IF(AK93&gt;7,"Match 8","")</f>
        <v/>
      </c>
      <c r="X107" s="387"/>
      <c r="Y107" s="388"/>
      <c r="Z107" s="386" t="str">
        <f>IF(AK93&gt;8,"Match 9","")</f>
        <v/>
      </c>
      <c r="AA107" s="387"/>
      <c r="AB107" s="388"/>
      <c r="AC107" s="386" t="str">
        <f>IF(AK93&gt;9,"Match 10","")</f>
        <v/>
      </c>
      <c r="AD107" s="387"/>
      <c r="AE107" s="388"/>
      <c r="AF107" s="380"/>
      <c r="AG107" s="381"/>
      <c r="AH107" s="381"/>
      <c r="AI107" s="381"/>
      <c r="AJ107" s="381"/>
      <c r="AK107" s="381"/>
      <c r="AL107" s="381"/>
      <c r="AM107" s="381"/>
      <c r="AN107" s="381"/>
      <c r="AO107" s="381"/>
      <c r="AP107" s="381"/>
      <c r="AQ107" s="382"/>
    </row>
    <row r="108" spans="1:44" ht="15.75">
      <c r="A108" s="1"/>
      <c r="B108" s="389" t="s">
        <v>33</v>
      </c>
      <c r="C108" s="390"/>
      <c r="D108" s="391"/>
      <c r="E108" s="389" t="s">
        <v>31</v>
      </c>
      <c r="F108" s="390"/>
      <c r="G108" s="391"/>
      <c r="H108" s="389" t="s">
        <v>32</v>
      </c>
      <c r="I108" s="390"/>
      <c r="J108" s="391"/>
      <c r="K108" s="389"/>
      <c r="L108" s="390"/>
      <c r="M108" s="391"/>
      <c r="N108" s="389"/>
      <c r="O108" s="390"/>
      <c r="P108" s="391"/>
      <c r="Q108" s="389"/>
      <c r="R108" s="390"/>
      <c r="S108" s="391"/>
      <c r="T108" s="389"/>
      <c r="U108" s="390"/>
      <c r="V108" s="391"/>
      <c r="W108" s="389"/>
      <c r="X108" s="390"/>
      <c r="Y108" s="391"/>
      <c r="Z108" s="389"/>
      <c r="AA108" s="390"/>
      <c r="AB108" s="391"/>
      <c r="AC108" s="389"/>
      <c r="AD108" s="390"/>
      <c r="AE108" s="391"/>
      <c r="AF108" s="160" t="s">
        <v>34</v>
      </c>
      <c r="AG108" s="108">
        <v>1</v>
      </c>
      <c r="AH108" s="108">
        <v>2</v>
      </c>
      <c r="AI108" s="108">
        <v>3</v>
      </c>
      <c r="AJ108" s="108">
        <v>4</v>
      </c>
      <c r="AK108" s="108">
        <v>5</v>
      </c>
      <c r="AL108" s="108">
        <v>6</v>
      </c>
      <c r="AM108" s="108">
        <v>7</v>
      </c>
      <c r="AN108" s="108">
        <v>8</v>
      </c>
      <c r="AO108" s="108">
        <v>9</v>
      </c>
      <c r="AP108" s="108">
        <v>10</v>
      </c>
      <c r="AQ108" s="161" t="s">
        <v>200</v>
      </c>
    </row>
    <row r="109" spans="1:44" ht="15.75">
      <c r="A109" s="1"/>
      <c r="B109" s="109">
        <v>1</v>
      </c>
      <c r="C109" s="110" t="s">
        <v>35</v>
      </c>
      <c r="D109" s="111">
        <v>2</v>
      </c>
      <c r="E109" s="109">
        <v>2</v>
      </c>
      <c r="F109" s="110" t="str">
        <f>IF(AK93&gt;1,"v","")</f>
        <v>v</v>
      </c>
      <c r="G109" s="111">
        <v>3</v>
      </c>
      <c r="H109" s="109">
        <v>1</v>
      </c>
      <c r="I109" s="110" t="str">
        <f>IF(AK93&gt;2,"v","")</f>
        <v>v</v>
      </c>
      <c r="J109" s="111">
        <v>3</v>
      </c>
      <c r="K109" s="109"/>
      <c r="L109" s="110" t="str">
        <f>IF(AK93&gt;3,"v","")</f>
        <v/>
      </c>
      <c r="M109" s="111"/>
      <c r="N109" s="109"/>
      <c r="O109" s="110" t="str">
        <f>IF(AK93&gt;4,"v","")</f>
        <v/>
      </c>
      <c r="P109" s="111"/>
      <c r="Q109" s="109"/>
      <c r="R109" s="110" t="str">
        <f>IF(AK93&gt;5,"v","")</f>
        <v/>
      </c>
      <c r="S109" s="111"/>
      <c r="T109" s="109"/>
      <c r="U109" s="110" t="str">
        <f>IF(AK93&gt;6,"v","")</f>
        <v/>
      </c>
      <c r="V109" s="111"/>
      <c r="W109" s="109"/>
      <c r="X109" s="110" t="str">
        <f>IF(AK93&gt;7,"v","")</f>
        <v/>
      </c>
      <c r="Y109" s="111"/>
      <c r="Z109" s="109"/>
      <c r="AA109" s="110" t="str">
        <f>IF(AK93&gt;8,"v","")</f>
        <v/>
      </c>
      <c r="AB109" s="111"/>
      <c r="AC109" s="109"/>
      <c r="AD109" s="110" t="str">
        <f>IF(AK93&gt;9,"v","")</f>
        <v/>
      </c>
      <c r="AE109" s="111"/>
      <c r="AF109" s="160" t="str">
        <f>IF(AK94&gt;0,"Team 1","")</f>
        <v>Team 1</v>
      </c>
      <c r="AG109" s="162">
        <f>IF(AK94&lt;1,"",IF(AK93&lt;1,"",IF(B109=1,B115-D115,IF(D109=1,D115-B115,""))))</f>
        <v>18</v>
      </c>
      <c r="AH109" s="162" t="str">
        <f>IF(AK94&lt;1,"",IF(AK93&lt;2,"",IF(E109=1,E115-G115,IF(G109=1,G115-E115,""))))</f>
        <v/>
      </c>
      <c r="AI109" s="162">
        <f>IF(AK94&lt;1,"",IF(AK93&lt;3,"",IF(H109=1,H115-J115,IF(J109=1,J115-H115,""))))</f>
        <v>20</v>
      </c>
      <c r="AJ109" s="162" t="str">
        <f>IF(AK94&lt;1,"",IF(AK93&lt;4,"",IF(K109=1,K115-M115,IF(M109=1,M115-K115,""))))</f>
        <v/>
      </c>
      <c r="AK109" s="162" t="str">
        <f>IF(AK94&lt;1,"",IF(AK93&lt;5,"",IF(N109=1,N115-P115,IF(P109=1,P115-N115,""))))</f>
        <v/>
      </c>
      <c r="AL109" s="162" t="str">
        <f>IF(AK94&lt;1,"",IF(AK93&lt;6,"",IF(Q109=1,Q115-S115,IF(S109=1,S115-Q115,""))))</f>
        <v/>
      </c>
      <c r="AM109" s="162" t="str">
        <f>IF(AK94&lt;1,"",IF(AK93&lt;7,"",IF(T109=1,T115-V115,IF(V109=1,V115-T115,""))))</f>
        <v/>
      </c>
      <c r="AN109" s="162" t="str">
        <f>IF(AK94&lt;1,"",IF(AK93&lt;8,"",IF(W109=1,W115-Y115,IF(Y109=1,Y115-W115,""))))</f>
        <v/>
      </c>
      <c r="AO109" s="162" t="str">
        <f>IF(AK94&lt;1,"",IF(AK93&lt;9,"",IF(Z109=1,Z115-AB115,IF(AB109=1,AB115-Z115,""))))</f>
        <v/>
      </c>
      <c r="AP109" s="162" t="str">
        <f>IF(AK94&lt;1,"",IF(AK93&lt;10,"",IF(AC109=1,AC115-AE115,IF(AE109=1,AE115-AC115,""))))</f>
        <v/>
      </c>
      <c r="AQ109" s="161">
        <f>SUM(AG109:AP109)</f>
        <v>38</v>
      </c>
    </row>
    <row r="110" spans="1:44" ht="15">
      <c r="A110" s="3" t="s">
        <v>36</v>
      </c>
      <c r="B110" s="112">
        <v>20</v>
      </c>
      <c r="C110" s="113" t="s">
        <v>37</v>
      </c>
      <c r="D110" s="114">
        <v>12</v>
      </c>
      <c r="E110" s="112">
        <v>22</v>
      </c>
      <c r="F110" s="113" t="str">
        <f>IF(AK93&gt;1,"/","")</f>
        <v>/</v>
      </c>
      <c r="G110" s="114">
        <v>18</v>
      </c>
      <c r="H110" s="112">
        <v>24</v>
      </c>
      <c r="I110" s="113" t="str">
        <f>IF(AK93&gt;2,"/","")</f>
        <v>/</v>
      </c>
      <c r="J110" s="114">
        <v>9</v>
      </c>
      <c r="K110" s="112"/>
      <c r="L110" s="113" t="str">
        <f>IF(AK93&gt;3,"/","")</f>
        <v/>
      </c>
      <c r="M110" s="114"/>
      <c r="N110" s="112"/>
      <c r="O110" s="113" t="str">
        <f>IF(AK93&gt;4,"/","")</f>
        <v/>
      </c>
      <c r="P110" s="114"/>
      <c r="Q110" s="112"/>
      <c r="R110" s="113" t="str">
        <f>IF(AK93&gt;5,"/","")</f>
        <v/>
      </c>
      <c r="S110" s="114"/>
      <c r="T110" s="112"/>
      <c r="U110" s="113" t="str">
        <f>IF(AK93&gt;6,"/","")</f>
        <v/>
      </c>
      <c r="V110" s="114"/>
      <c r="W110" s="112"/>
      <c r="X110" s="113" t="str">
        <f>IF(AK93&gt;7,"/","")</f>
        <v/>
      </c>
      <c r="Y110" s="114"/>
      <c r="Z110" s="112"/>
      <c r="AA110" s="113" t="str">
        <f>IF(AK93&gt;8,"/","")</f>
        <v/>
      </c>
      <c r="AB110" s="114"/>
      <c r="AC110" s="112"/>
      <c r="AD110" s="113" t="str">
        <f>IF(AK93&gt;9,"/","")</f>
        <v/>
      </c>
      <c r="AE110" s="114"/>
      <c r="AF110" s="160" t="str">
        <f>IF(AK94&gt;1,"Team 2","")</f>
        <v>Team 2</v>
      </c>
      <c r="AG110" s="162">
        <f>IF(AK94&lt;2,"",IF(AK93&lt;1,"",IF(B109=2,B115-D115,IF(D109=2,D115-B115,""))))</f>
        <v>-18</v>
      </c>
      <c r="AH110" s="162">
        <f>IF(AK94&lt;2,"",IF(AK93&lt;2,"",IF(E109=2,E115-G115,IF(G109=2,G115-E115,""))))</f>
        <v>2</v>
      </c>
      <c r="AI110" s="162" t="str">
        <f>IF(AK94&lt;2,"",IF(AK93&lt;3,"",IF(H109=2,H115-J115,IF(J109=2,J115-H115,""))))</f>
        <v/>
      </c>
      <c r="AJ110" s="162" t="str">
        <f>IF(AK94&lt;2,"",IF(AK93&lt;4,"",IF(K109=2,K115-M115,IF(M109=2,M115-K115,""))))</f>
        <v/>
      </c>
      <c r="AK110" s="162" t="str">
        <f>IF(AK94&lt;2,"",IF(AK93&lt;5,"",IF(N109=2,N115-P115,IF(P109=2,P115-N115,""))))</f>
        <v/>
      </c>
      <c r="AL110" s="162" t="str">
        <f>IF(AK94&lt;2,"",IF(AK93&lt;6,"",IF(Q109=2,Q115-S115,IF(S109=2,S115-Q115,""))))</f>
        <v/>
      </c>
      <c r="AM110" s="162" t="str">
        <f>IF(AK94&lt;2,"",IF(AK93&lt;7,"",IF(T109=2,T115-V115,IF(V109=2,V115-T115,""))))</f>
        <v/>
      </c>
      <c r="AN110" s="162" t="str">
        <f>IF(AK94&lt;2,"",IF(AK93&lt;8,"",IF(W109=2,W115-Y115,IF(Y109=2,Y115-W115,""))))</f>
        <v/>
      </c>
      <c r="AO110" s="162" t="str">
        <f>IF(AK94&lt;2,"",IF(AK93&lt;9,"",IF(Z109=2,Z115-AB115,IF(AB109=2,AB115-Z115,""))))</f>
        <v/>
      </c>
      <c r="AP110" s="162" t="str">
        <f>IF(AK94&lt;2,"",IF(AK93&lt;10,"",IF(AC109=2,AC115-AE115,IF(AE109=2,AE115-AC115,""))))</f>
        <v/>
      </c>
      <c r="AQ110" s="161">
        <f>SUM(AG110:AP110)</f>
        <v>-16</v>
      </c>
    </row>
    <row r="111" spans="1:44" ht="15">
      <c r="A111" s="46" t="str">
        <f>IF(AK92&gt;1,"Game 2","")</f>
        <v>Game 2</v>
      </c>
      <c r="B111" s="112">
        <v>20</v>
      </c>
      <c r="C111" s="113" t="s">
        <v>37</v>
      </c>
      <c r="D111" s="114">
        <v>10</v>
      </c>
      <c r="E111" s="112">
        <v>16</v>
      </c>
      <c r="F111" s="113" t="str">
        <f>IF(AK93&gt;1,IF(AK92&gt;1,"/",""),"")</f>
        <v>/</v>
      </c>
      <c r="G111" s="114">
        <v>18</v>
      </c>
      <c r="H111" s="112">
        <v>17</v>
      </c>
      <c r="I111" s="113" t="str">
        <f>IF(AK93&gt;2,IF(AK92&gt;1,"/",""),"")</f>
        <v>/</v>
      </c>
      <c r="J111" s="114">
        <v>12</v>
      </c>
      <c r="K111" s="112"/>
      <c r="L111" s="113" t="str">
        <f>IF(AK93&gt;3,IF(AK92&gt;1,"/",""),"")</f>
        <v/>
      </c>
      <c r="M111" s="114"/>
      <c r="N111" s="112"/>
      <c r="O111" s="113" t="str">
        <f>IF(AK93&gt;4,IF(AK92&gt;1,"/",""),"")</f>
        <v/>
      </c>
      <c r="P111" s="114"/>
      <c r="Q111" s="112"/>
      <c r="R111" s="113" t="str">
        <f>IF(AK93&gt;5,IF(AK92&gt;1,"/",""),"")</f>
        <v/>
      </c>
      <c r="S111" s="114"/>
      <c r="T111" s="112"/>
      <c r="U111" s="113" t="str">
        <f>IF(AK93&gt;6,IF(AK92&gt;1,"/",""),"")</f>
        <v/>
      </c>
      <c r="V111" s="114"/>
      <c r="W111" s="112"/>
      <c r="X111" s="113" t="str">
        <f>IF(AK93&gt;7,IF(AK92&gt;1,"/",""),"")</f>
        <v/>
      </c>
      <c r="Y111" s="114"/>
      <c r="Z111" s="112"/>
      <c r="AA111" s="113" t="str">
        <f>IF(AK93&gt;8,IF(AK92&gt;1,"/",""),"")</f>
        <v/>
      </c>
      <c r="AB111" s="114"/>
      <c r="AC111" s="112"/>
      <c r="AD111" s="113" t="str">
        <f>IF(AK93&gt;9,IF(AK92&gt;1,"/",""),"")</f>
        <v/>
      </c>
      <c r="AE111" s="114"/>
      <c r="AF111" s="160" t="str">
        <f>IF(AK94&gt;2,"Team 3","")</f>
        <v>Team 3</v>
      </c>
      <c r="AG111" s="162" t="str">
        <f>IF(AK94&lt;3,"",IF(AK93&lt;1,"",IF(B109=3,B115-D115,IF(D109=3,D115-B115,""))))</f>
        <v/>
      </c>
      <c r="AH111" s="162">
        <f>IF(AK94&lt;3,"",IF(AK93&lt;2,"",IF(E109=3,E115-G115,IF(G109=3,G115-E115,""))))</f>
        <v>-2</v>
      </c>
      <c r="AI111" s="162">
        <f>IF(AK94&lt;3,"",IF(AK93&lt;3,"",IF(H109=3,H115-J115,IF(J109=3,J115-H115,""))))</f>
        <v>-20</v>
      </c>
      <c r="AJ111" s="162" t="str">
        <f>IF(AK94&lt;3,"",IF(AK93&lt;4,"",IF(K109=3,K115-M115,IF(M109=3,M115-K115,""))))</f>
        <v/>
      </c>
      <c r="AK111" s="162" t="str">
        <f>IF(AK94&lt;3,"",IF(AK93&lt;5,"",IF(N109=3,N115-P115,IF(P109=3,P115-N115,""))))</f>
        <v/>
      </c>
      <c r="AL111" s="162" t="str">
        <f>IF(AK94&lt;3,"",IF(AK93&lt;6,"",IF(Q109=3,Q115-S115,IF(S109=3,S115-Q115,""))))</f>
        <v/>
      </c>
      <c r="AM111" s="162" t="str">
        <f>IF(AK94&lt;3,"",IF(AK93&lt;7,"",IF(T109=3,T115-V115,IF(V109=3,V115-T115,""))))</f>
        <v/>
      </c>
      <c r="AN111" s="162" t="str">
        <f>IF(AK94&lt;3,"",IF(AK93&lt;8,"",IF(W109=3,W115-Y115,IF(Y109=3,Y115-W115,""))))</f>
        <v/>
      </c>
      <c r="AO111" s="162" t="str">
        <f>IF(AK94&lt;3,"",IF(AK93&lt;9,"",IF(Z109=3,Z115-AB115,IF(AB109=3,AB115-Z115,""))))</f>
        <v/>
      </c>
      <c r="AP111" s="162" t="str">
        <f>IF(AK94&lt;3,"",IF(AK93&lt;9,"",IF(AC109=3,AC115-AE115,IF(AE109=3,AE115-AC115,""))))</f>
        <v/>
      </c>
      <c r="AQ111" s="161">
        <f>SUM(AG111:AP111)</f>
        <v>-22</v>
      </c>
    </row>
    <row r="112" spans="1:44" ht="15" hidden="1">
      <c r="A112" s="46" t="str">
        <f>IF(AK92&gt;2,"Game 3","")</f>
        <v/>
      </c>
      <c r="B112" s="112"/>
      <c r="C112" s="113" t="s">
        <v>37</v>
      </c>
      <c r="D112" s="114"/>
      <c r="E112" s="112"/>
      <c r="F112" s="113" t="str">
        <f>IF(AK93&gt;1,IF(AK92&gt;2,"/",""),"")</f>
        <v/>
      </c>
      <c r="G112" s="114"/>
      <c r="H112" s="112"/>
      <c r="I112" s="113" t="str">
        <f>IF(AK93&gt;2,IF(AK92&gt;2,"/",""),"")</f>
        <v/>
      </c>
      <c r="J112" s="114"/>
      <c r="K112" s="112"/>
      <c r="L112" s="113" t="str">
        <f>IF(AK93&gt;3,IF(AK92&gt;2,"/",""),"")</f>
        <v/>
      </c>
      <c r="M112" s="114"/>
      <c r="N112" s="112"/>
      <c r="O112" s="113" t="str">
        <f>IF(AK93&gt;4,IF(AK92&gt;2,"/",""),"")</f>
        <v/>
      </c>
      <c r="P112" s="114"/>
      <c r="Q112" s="112"/>
      <c r="R112" s="113" t="str">
        <f>IF(AK93&gt;5,IF(AK92&gt;2,"/",""),"")</f>
        <v/>
      </c>
      <c r="S112" s="114"/>
      <c r="T112" s="112"/>
      <c r="U112" s="113" t="str">
        <f>IF(AK93&gt;6,IF(AK92&gt;2,"/",""),"")</f>
        <v/>
      </c>
      <c r="V112" s="114"/>
      <c r="W112" s="112"/>
      <c r="X112" s="113" t="str">
        <f>IF(AK93&gt;7,IF(AK92&gt;2,"/",""),"")</f>
        <v/>
      </c>
      <c r="Y112" s="114"/>
      <c r="Z112" s="112"/>
      <c r="AA112" s="113" t="str">
        <f>IF(AK93&gt;8,IF(AK92&gt;2,"/",""),"")</f>
        <v/>
      </c>
      <c r="AB112" s="114"/>
      <c r="AC112" s="112"/>
      <c r="AD112" s="113" t="str">
        <f>IF(AK93&gt;9,IF(AK92&gt;2,"/",""),"")</f>
        <v/>
      </c>
      <c r="AE112" s="114"/>
      <c r="AF112" s="160" t="str">
        <f>IF(AK94&gt;3,"Team 4","")</f>
        <v/>
      </c>
      <c r="AG112" s="162" t="str">
        <f>IF(AK94&lt;4,"",IF(AK93&lt;1,"",IF(B109=4,B115-D115,IF(D109=4,D115-B115,""))))</f>
        <v/>
      </c>
      <c r="AH112" s="162" t="str">
        <f>IF(AK94&lt;4,"",IF(AK93&lt;2,"",IF(E109=4,E115-G115,IF(G109=4,G115-E115,""))))</f>
        <v/>
      </c>
      <c r="AI112" s="162" t="str">
        <f>IF(AK94&lt;4,"",IF(AK93&lt;3,"",IF(H109=4,H115-J115,IF(J109=4,J115-H115,""))))</f>
        <v/>
      </c>
      <c r="AJ112" s="162" t="str">
        <f>IF(AK94&lt;4,"",IF(AK93&lt;4,"",IF(K109=4,K115-M115,IF(M109=4,M115-K115,""))))</f>
        <v/>
      </c>
      <c r="AK112" s="162" t="str">
        <f>IF(AK94&lt;4,"",IF(AK93&lt;5,"",IF(N109=4,N115-P115,IF(P109=4,P115-N115,""))))</f>
        <v/>
      </c>
      <c r="AL112" s="162" t="str">
        <f>IF(AK94&lt;4,"",IF(AK93&lt;6,"",IF(Q109=4,Q115-S115,IF(S109=4,S115-Q115,""))))</f>
        <v/>
      </c>
      <c r="AM112" s="162" t="str">
        <f>IF(AK94&lt;4,"",IF(AK93&lt;7,"",IF(T109=4,T115-V115,IF(V109=4,V115-T115,""))))</f>
        <v/>
      </c>
      <c r="AN112" s="162" t="str">
        <f>IF(AK94&lt;4,"",IF(AK93&lt;8,"",IF(W109=4,W115-Y115,IF(Y109=4,Y115-W115,""))))</f>
        <v/>
      </c>
      <c r="AO112" s="162" t="str">
        <f>IF(AK94&lt;4,"",IF(AK93&lt;9,"",IF(Z109=4,Z115-AB115,IF(AB109=4,AB115-Z115,""))))</f>
        <v/>
      </c>
      <c r="AP112" s="162" t="str">
        <f>IF(AK94&lt;4,"",IF(AK93&lt;10,"",IF(AC109=4,AC115-AE115,IF(AE109=4,AE115-AC115,""))))</f>
        <v/>
      </c>
      <c r="AQ112" s="161">
        <f>SUM(AG112:AP112)</f>
        <v>0</v>
      </c>
    </row>
    <row r="113" spans="1:51" ht="15" hidden="1">
      <c r="A113" s="46" t="str">
        <f>IF(AK92&gt;3,"Game 4","")</f>
        <v/>
      </c>
      <c r="B113" s="112"/>
      <c r="C113" s="113" t="s">
        <v>37</v>
      </c>
      <c r="D113" s="114"/>
      <c r="E113" s="112"/>
      <c r="F113" s="113" t="str">
        <f>IF(AK93&gt;1,IF(AK92&gt;3,"/",""),"")</f>
        <v/>
      </c>
      <c r="G113" s="114"/>
      <c r="H113" s="112"/>
      <c r="I113" s="113" t="str">
        <f>IF(AK93&gt;2,IF(AK92&gt;3,"/",""),"")</f>
        <v/>
      </c>
      <c r="J113" s="114"/>
      <c r="K113" s="112"/>
      <c r="L113" s="113" t="str">
        <f>IF(AK93&gt;3,IF(AK92&gt;3,"/",""),"")</f>
        <v/>
      </c>
      <c r="M113" s="114"/>
      <c r="N113" s="112"/>
      <c r="O113" s="113" t="str">
        <f>IF(AK93&gt;4,IF(AK92&gt;3,"/",""),"")</f>
        <v/>
      </c>
      <c r="P113" s="114"/>
      <c r="Q113" s="112"/>
      <c r="R113" s="113" t="str">
        <f>IF(AK93&gt;5,IF(AK92&gt;3,"/",""),"")</f>
        <v/>
      </c>
      <c r="S113" s="114"/>
      <c r="T113" s="112"/>
      <c r="U113" s="113" t="str">
        <f>IF(AK93&gt;6,IF(AK92&gt;3,"/",""),"")</f>
        <v/>
      </c>
      <c r="V113" s="114"/>
      <c r="W113" s="112"/>
      <c r="X113" s="113" t="str">
        <f>IF(AK93&gt;7,IF(AK92&gt;3,"/",""),"")</f>
        <v/>
      </c>
      <c r="Y113" s="114"/>
      <c r="Z113" s="112"/>
      <c r="AA113" s="113" t="str">
        <f>IF(AK93&gt;8,IF(AK92&gt;3,"/",""),"")</f>
        <v/>
      </c>
      <c r="AB113" s="114"/>
      <c r="AC113" s="112"/>
      <c r="AD113" s="113" t="str">
        <f>IF(AK93&gt;9,IF(AK92&gt;3,"/",""),"")</f>
        <v/>
      </c>
      <c r="AE113" s="114"/>
      <c r="AF113" s="160" t="str">
        <f>IF(AK94&gt;4,"Team 5","")</f>
        <v/>
      </c>
      <c r="AG113" s="163" t="str">
        <f>IF(AK94&lt;5,"",IF(AK93&lt;1,"",IF(B109=5,B115-D115,IF(D109=5,D115-B115,""))))</f>
        <v/>
      </c>
      <c r="AH113" s="162" t="str">
        <f>IF(AK94&lt;5,"",IF(AK93&lt;2,"",IF(E109=5,E115-G115,IF(G109=5,G115-E115,""))))</f>
        <v/>
      </c>
      <c r="AI113" s="162" t="str">
        <f>IF(AK94&lt;5,"",IF(AK93&lt;3,"",IF(H109=5,H115-J115,IF(J109=5,J115-H115,""))))</f>
        <v/>
      </c>
      <c r="AJ113" s="162" t="str">
        <f>IF(AK94&lt;5,"",IF(AK93&lt;4,"",IF(K109=5,K115-M115,IF(M109=5,M115-K115,""))))</f>
        <v/>
      </c>
      <c r="AK113" s="162" t="str">
        <f>IF(AK94&lt;5,"",IF(AK93&lt;5,"",IF(N109=5,N115-P115,IF(P109=5,P115-N115,""))))</f>
        <v/>
      </c>
      <c r="AL113" s="162" t="str">
        <f>IF(AK94&lt;5,"",IF(AK93&lt;6,"",IF(Q109=5,Q115-S115,IF(S109=5,S115-Q115,""))))</f>
        <v/>
      </c>
      <c r="AM113" s="162" t="str">
        <f>IF(AK94&lt;5,"",IF(AK93&lt;7,"",IF(T109=5,T115-V115,IF(V109=5,V115-T115,""))))</f>
        <v/>
      </c>
      <c r="AN113" s="162" t="str">
        <f>IF(AK94&lt;5,"",IF(AK93&lt;8,"",IF(W109=5,W115-Y115,IF(Y109=5,Y115-W115,""))))</f>
        <v/>
      </c>
      <c r="AO113" s="162" t="str">
        <f>IF(AK94&lt;5,"",IF(AK93&lt;9,"",IF(Z109=5,Z115-AB115,IF(AB109=5,AB115-Z115,""))))</f>
        <v/>
      </c>
      <c r="AP113" s="162" t="str">
        <f>IF(AK94&lt;5,"",IF(AK93&lt;10,"",IF(AC109=5,AC115-AE115,IF(AE109=5,AE115-AC115,""))))</f>
        <v/>
      </c>
      <c r="AQ113" s="161">
        <f>SUM(AG113:AP113)</f>
        <v>0</v>
      </c>
    </row>
    <row r="114" spans="1:51" ht="15">
      <c r="A114" s="46" t="str">
        <f>IF(AK92&gt;4,"Game 5","")</f>
        <v/>
      </c>
      <c r="B114" s="112"/>
      <c r="C114" s="113" t="s">
        <v>37</v>
      </c>
      <c r="D114" s="114"/>
      <c r="E114" s="112"/>
      <c r="F114" s="113" t="str">
        <f>IF(AK93&gt;1,IF(AK92&gt;4,"/",""),"")</f>
        <v/>
      </c>
      <c r="G114" s="114"/>
      <c r="H114" s="112"/>
      <c r="I114" s="113" t="str">
        <f>IF(AK93&gt;2,IF(AK92&gt;4,"/",""),"")</f>
        <v/>
      </c>
      <c r="J114" s="114"/>
      <c r="K114" s="112"/>
      <c r="L114" s="113" t="str">
        <f>IF(AK93&gt;3,IF(AK92&gt;4,"/",""),"")</f>
        <v/>
      </c>
      <c r="M114" s="114"/>
      <c r="N114" s="112"/>
      <c r="O114" s="113" t="str">
        <f>IF(AK93&gt;4,IF(AK92&gt;4,"/",""),"")</f>
        <v/>
      </c>
      <c r="P114" s="114"/>
      <c r="Q114" s="112"/>
      <c r="R114" s="113" t="str">
        <f>IF(AK93&gt;5,IF(AK92&gt;4,"/",""),"")</f>
        <v/>
      </c>
      <c r="S114" s="114"/>
      <c r="T114" s="112"/>
      <c r="U114" s="113" t="str">
        <f>IF(AK93&gt;6,IF(AK92&gt;4,"/",""),"")</f>
        <v/>
      </c>
      <c r="V114" s="114"/>
      <c r="W114" s="112"/>
      <c r="X114" s="113" t="str">
        <f>IF(AK93&gt;7,IF(AK92&gt;4,"/",""),"")</f>
        <v/>
      </c>
      <c r="Y114" s="114"/>
      <c r="Z114" s="112"/>
      <c r="AA114" s="113" t="str">
        <f>IF(AK93&gt;8,IF(AK92&gt;4,"/",""),"")</f>
        <v/>
      </c>
      <c r="AB114" s="114"/>
      <c r="AC114" s="112"/>
      <c r="AD114" s="113" t="str">
        <f>IF(AK93&gt;9,IF(AK92&gt;4,"/",""),"")</f>
        <v/>
      </c>
      <c r="AE114" s="114"/>
      <c r="AF114" s="1"/>
      <c r="AG114" s="1"/>
      <c r="AH114" s="1"/>
      <c r="AI114" s="1"/>
      <c r="AJ114" s="1"/>
      <c r="AK114" s="1"/>
      <c r="AL114" s="1"/>
      <c r="AM114" s="1"/>
      <c r="AN114" s="1"/>
      <c r="AO114" s="1"/>
      <c r="AP114" s="1"/>
      <c r="AQ114" s="1"/>
    </row>
    <row r="115" spans="1:51" hidden="1">
      <c r="A115" s="116"/>
      <c r="B115" s="116">
        <f>IF($AK92=5,SUM(B110:B114),IF($AK92=4,SUM(B110:B113),IF($AK92=3,SUM(B110:B112),IF($AK92=2,SUM(B110:B111),B110))))</f>
        <v>40</v>
      </c>
      <c r="C115" s="116"/>
      <c r="D115" s="116">
        <f>IF($AK92=5,SUM(D110:D114),IF($AK92=4,SUM(D110:D113),IF($AK92=3,SUM(D110:D112),IF($AK92=2,SUM(D110:D111),D110))))</f>
        <v>22</v>
      </c>
      <c r="E115" s="116">
        <f>IF($AK92=5,SUM(E110:E114),IF($AK92=4,SUM(E110:E113),IF($AK92=3,SUM(E110:E112),IF($AK92=2,SUM(E110:E111),E110))))</f>
        <v>38</v>
      </c>
      <c r="F115" s="116"/>
      <c r="G115" s="116">
        <f>IF($AK92=5,SUM(G110:G114),IF($AK92=4,SUM(G110:G113),IF($AK92=3,SUM(G110:G112),IF($AK92=2,SUM(G110:G111),G110))))</f>
        <v>36</v>
      </c>
      <c r="H115" s="116">
        <f>IF($AK92=5,SUM(H110:H114),IF($AK92=4,SUM(H110:H113),IF($AK92=3,SUM(H110:H112),IF($AK92=2,SUM(H110:H111),H110))))</f>
        <v>41</v>
      </c>
      <c r="I115" s="116"/>
      <c r="J115" s="116">
        <f>IF($AK92=5,SUM(J110:J114),IF($AK92=4,SUM(J110:J113),IF($AK92=3,SUM(J110:J112),IF($AK92=2,SUM(J110:J111),J110))))</f>
        <v>21</v>
      </c>
      <c r="K115" s="116">
        <f>IF($AK92=5,SUM(K110:K114),IF($AK92=4,SUM(K110:K113),IF($AK92=3,SUM(K110:K112),IF($AK92=2,SUM(K110:K111),K110))))</f>
        <v>0</v>
      </c>
      <c r="L115" s="116"/>
      <c r="M115" s="116">
        <f>IF($AK92=5,SUM(M110:M114),IF($AK92=4,SUM(M110:M113),IF($AK92=3,SUM(M110:M112),IF($AK92=2,SUM(M110:M111),M110))))</f>
        <v>0</v>
      </c>
      <c r="N115" s="116">
        <f>IF($AK92=5,SUM(N110:N114),IF($AK92=4,SUM(N110:N113),IF($AK92=3,SUM(N110:N112),IF($AK92=2,SUM(N110:N111),N110))))</f>
        <v>0</v>
      </c>
      <c r="O115" s="116"/>
      <c r="P115" s="116">
        <f>IF($AK92=5,SUM(P110:P114),IF($AK92=4,SUM(P110:P113),IF($AK92=3,SUM(P110:P112),IF($AK92=2,SUM(P110:P111),P110))))</f>
        <v>0</v>
      </c>
      <c r="Q115" s="116">
        <f>IF($AK92=5,SUM(Q110:Q114),IF($AK92=4,SUM(Q110:Q113),IF($AK92=3,SUM(Q110:Q112),IF($AK92=2,SUM(Q110:Q111),Q110))))</f>
        <v>0</v>
      </c>
      <c r="R115" s="116"/>
      <c r="S115" s="116">
        <f>IF($AK92=5,SUM(S110:S114),IF($AK92=4,SUM(S110:S113),IF($AK92=3,SUM(S110:S112),IF($AK92=2,SUM(S110:S111),S110))))</f>
        <v>0</v>
      </c>
      <c r="T115" s="116">
        <f>IF($AK92=5,SUM(T110:T114),IF($AK92=4,SUM(T110:T113),IF($AK92=3,SUM(T110:T112),IF($AK92=2,SUM(T110:T111),T110))))</f>
        <v>0</v>
      </c>
      <c r="U115" s="116"/>
      <c r="V115" s="116">
        <f>IF($AK92=5,SUM(V110:V114),IF($AK92=4,SUM(V110:V113),IF($AK92=3,SUM(V110:V112),IF($AK92=2,SUM(V110:V111),V110))))</f>
        <v>0</v>
      </c>
      <c r="W115" s="116">
        <f>IF($AK92=5,SUM(W110:W114),IF($AK92=4,SUM(W110:W113),IF($AK92=3,SUM(W110:W112),IF($AK92=2,SUM(W110:W111),W110))))</f>
        <v>0</v>
      </c>
      <c r="X115" s="116"/>
      <c r="Y115" s="116">
        <f>IF($AK92=5,SUM(Y110:Y114),IF($AK92=4,SUM(Y110:Y113),IF($AK92=3,SUM(Y110:Y112),IF($AK92=2,SUM(Y110:Y111),Y110))))</f>
        <v>0</v>
      </c>
      <c r="Z115" s="116">
        <f>IF($AK92=5,SUM(Z110:Z114),IF($AK92=4,SUM(Z110:Z113),IF($AK92=3,SUM(Z110:Z112),IF($AK92=2,SUM(Z110:Z111),Z110))))</f>
        <v>0</v>
      </c>
      <c r="AA115" s="116"/>
      <c r="AB115" s="116">
        <f>IF($AK92=5,SUM(AB110:AB114),IF($AK92=4,SUM(AB110:AB113),IF($AK92=3,SUM(AB110:AB112),IF($AK92=2,SUM(AB110:AB111),AB110))))</f>
        <v>0</v>
      </c>
      <c r="AC115" s="116">
        <f>IF($AK92=5,SUM(AC110:AC114),IF($AK92=4,SUM(AC110:AC113),IF($AK92=3,SUM(AC110:AC112),IF($AK92=2,SUM(AC110:AC111),AC110))))</f>
        <v>0</v>
      </c>
      <c r="AD115" s="116"/>
      <c r="AE115" s="116">
        <f>IF($AK92=5,SUM(AE110:AE114),IF($AK92=4,SUM(AE110:AE113),IF($AK92=3,SUM(AE110:AE112),IF($AK92=2,SUM(AE110:AE111),AE110))))</f>
        <v>0</v>
      </c>
      <c r="AF115" s="1"/>
      <c r="AG115" s="1"/>
      <c r="AH115" s="1"/>
      <c r="AI115" s="1"/>
      <c r="AJ115" s="1"/>
      <c r="AK115" s="1"/>
      <c r="AL115" s="1"/>
      <c r="AM115" s="1"/>
      <c r="AN115" s="1"/>
      <c r="AO115" s="1"/>
      <c r="AP115" s="1"/>
      <c r="AQ115" s="1"/>
    </row>
    <row r="116" spans="1:51" s="115" customFormat="1" ht="12.75" hidden="1" customHeight="1">
      <c r="A116" s="115" t="s">
        <v>201</v>
      </c>
      <c r="B116" s="164">
        <f>IF(AND(B110&gt;D110,$AK93&gt;0,ISNUMBER(B110),ISNUMBER(D110)),1,0)</f>
        <v>1</v>
      </c>
      <c r="C116" s="164"/>
      <c r="D116" s="165">
        <f>IF(AND(D110&gt;B110,$AK93&gt;0,ISNUMBER(B110),ISNUMBER(D110)),1,0)</f>
        <v>0</v>
      </c>
      <c r="E116" s="164">
        <f>IF(AND(E110&gt;G110,$AK93&gt;1,ISNUMBER(E110),ISNUMBER(G110)),1,0)</f>
        <v>1</v>
      </c>
      <c r="F116" s="164"/>
      <c r="G116" s="165">
        <f>IF(AND(G110&gt;E110,$AK93&gt;1,ISNUMBER(E110),ISNUMBER(G110)),1,0)</f>
        <v>0</v>
      </c>
      <c r="H116" s="164">
        <f>IF(AND(H110&gt;J110,$AK93&gt;2,ISNUMBER(H110),ISNUMBER(J110)),1,0)</f>
        <v>1</v>
      </c>
      <c r="I116" s="164"/>
      <c r="J116" s="165">
        <f>IF(AND(J110&gt;H110,$AK93&gt;2,ISNUMBER(H110),ISNUMBER(J110)),1,0)</f>
        <v>0</v>
      </c>
      <c r="K116" s="164">
        <f>IF(AND(K110&gt;M110,$AK93&gt;3,ISNUMBER(K110),ISNUMBER(M110)),1,0)</f>
        <v>0</v>
      </c>
      <c r="L116" s="164"/>
      <c r="M116" s="165">
        <f>IF(AND(M110&gt;K110,$AK93&gt;3,ISNUMBER(K110),ISNUMBER(M110)),1,0)</f>
        <v>0</v>
      </c>
      <c r="N116" s="164">
        <f>IF(AND(N110&gt;P110,$AK93&gt;4,ISNUMBER(N110),ISNUMBER(P110)),1,0)</f>
        <v>0</v>
      </c>
      <c r="O116" s="164"/>
      <c r="P116" s="165">
        <f>IF(AND(P110&gt;N110,$AK93&gt;4,ISNUMBER(N110),ISNUMBER(P110)),1,0)</f>
        <v>0</v>
      </c>
      <c r="Q116" s="164">
        <f>IF(AND(Q110&gt;S110,$AK93&gt;5,ISNUMBER(Q110),ISNUMBER(S110)),1,0)</f>
        <v>0</v>
      </c>
      <c r="R116" s="164"/>
      <c r="S116" s="165">
        <f>IF(AND(S110&gt;Q110,$AK93&gt;5,ISNUMBER(Q110),ISNUMBER(S110)),1,0)</f>
        <v>0</v>
      </c>
      <c r="T116" s="164">
        <f>IF(AND(T110&gt;V110,$AK93&gt;6,ISNUMBER(T110),ISNUMBER(V110)),1,0)</f>
        <v>0</v>
      </c>
      <c r="U116" s="164"/>
      <c r="V116" s="165">
        <f>IF(AND(V110&gt;T110,$AK93&gt;6,ISNUMBER(T110),ISNUMBER(V110)),1,0)</f>
        <v>0</v>
      </c>
      <c r="W116" s="164">
        <f>IF(AND(W110&gt;Y110,$AK93&gt;7,ISNUMBER(W110),ISNUMBER(Y110)),1,0)</f>
        <v>0</v>
      </c>
      <c r="X116" s="164"/>
      <c r="Y116" s="165">
        <f>IF(AND(Y110&gt;W110,$AK93&gt;7,ISNUMBER(W110),ISNUMBER(Y110)),1,0)</f>
        <v>0</v>
      </c>
      <c r="Z116" s="164">
        <f>IF(AND(Z110&gt;AB110,$AK93&gt;8,ISNUMBER(Z110),ISNUMBER(AB110)),1,0)</f>
        <v>0</v>
      </c>
      <c r="AA116" s="164"/>
      <c r="AB116" s="165">
        <f>IF(AND(AB110&gt;Z110,$AK93&gt;8,ISNUMBER(Z110),ISNUMBER(AB110)),1,0)</f>
        <v>0</v>
      </c>
      <c r="AC116" s="164">
        <f>IF(AND(AC110&gt;AE110,$AK93&gt;9,ISNUMBER(AC110),ISNUMBER(AE110)),1,0)</f>
        <v>0</v>
      </c>
      <c r="AD116" s="164"/>
      <c r="AE116" s="165">
        <f>IF(AND(AE110&gt;AC110,$AK93&gt;9,ISNUMBER(AC110),ISNUMBER(AE110)),1,0)</f>
        <v>0</v>
      </c>
      <c r="AT116" s="513"/>
      <c r="AU116" s="513"/>
      <c r="AV116" s="513"/>
      <c r="AW116" s="514"/>
      <c r="AX116" s="513"/>
      <c r="AY116" s="513"/>
    </row>
    <row r="117" spans="1:51" s="115" customFormat="1" ht="12.75" hidden="1" customHeight="1">
      <c r="A117" s="115" t="s">
        <v>202</v>
      </c>
      <c r="B117" s="164">
        <f>IF(AND(B111&gt;D111,$AK93&gt;0,$AK92&gt;1,ISNUMBER(B111),ISNUMBER(D111)),1,0)</f>
        <v>1</v>
      </c>
      <c r="C117" s="164"/>
      <c r="D117" s="165">
        <f>IF(AND(D111&gt;B111,$AK93&gt;0,$AK92&gt;1,ISNUMBER(B111),ISNUMBER(D111)),1,0)</f>
        <v>0</v>
      </c>
      <c r="E117" s="164">
        <f>IF(AND(E111&gt;G111,$AK93&gt;1,$AK92&gt;1,ISNUMBER(E111),ISNUMBER(G111)),1,0)</f>
        <v>0</v>
      </c>
      <c r="F117" s="164"/>
      <c r="G117" s="165">
        <f>IF(AND(G111&gt;E111,$AK93&gt;1,$AK92&gt;1,ISNUMBER(E111),ISNUMBER(G111)),1,0)</f>
        <v>1</v>
      </c>
      <c r="H117" s="164">
        <f>IF(AND(H111&gt;J111,$AK93&gt;2,$AK92&gt;1,ISNUMBER(H111),ISNUMBER(J111)),1,0)</f>
        <v>1</v>
      </c>
      <c r="I117" s="164"/>
      <c r="J117" s="165">
        <f>IF(AND(J111&gt;H111,$AK93&gt;2,$AK92&gt;1,ISNUMBER(H111),ISNUMBER(J111)),1,0)</f>
        <v>0</v>
      </c>
      <c r="K117" s="164">
        <f>IF(AND(K111&gt;M111,$AK93&gt;3,$AK92&gt;1,ISNUMBER(K111),ISNUMBER(M111)),1,0)</f>
        <v>0</v>
      </c>
      <c r="L117" s="164"/>
      <c r="M117" s="165">
        <f>IF(AND(M111&gt;K111,$AK93&gt;3,$AK92&gt;1,ISNUMBER(K111),ISNUMBER(M111)),1,0)</f>
        <v>0</v>
      </c>
      <c r="N117" s="164">
        <f>IF(AND(N111&gt;P111,$AK93&gt;4,$AK92&gt;1,ISNUMBER(N111),ISNUMBER(P111)),1,0)</f>
        <v>0</v>
      </c>
      <c r="O117" s="164"/>
      <c r="P117" s="165">
        <f>IF(AND(P111&gt;N111,$AK93&gt;4,$AK92&gt;1,ISNUMBER(N111),ISNUMBER(P111)),1,0)</f>
        <v>0</v>
      </c>
      <c r="Q117" s="164">
        <f>IF(AND(Q111&gt;S111,$AK93&gt;5,$AK92&gt;1,ISNUMBER(Q111),ISNUMBER(S111)),1,0)</f>
        <v>0</v>
      </c>
      <c r="R117" s="164"/>
      <c r="S117" s="165">
        <f>IF(AND(S111&gt;Q111,$AK93&gt;5,$AK92&gt;1,ISNUMBER(Q111),ISNUMBER(S111)),1,0)</f>
        <v>0</v>
      </c>
      <c r="T117" s="164">
        <f>IF(AND(T111&gt;V111,$AK93&gt;6,$AK92&gt;1,ISNUMBER(T111),ISNUMBER(V111)),1,0)</f>
        <v>0</v>
      </c>
      <c r="U117" s="164"/>
      <c r="V117" s="165">
        <f>IF(AND(V111&gt;T111,$AK93&gt;6,$AK92&gt;1,ISNUMBER(T111),ISNUMBER(V111)),1,0)</f>
        <v>0</v>
      </c>
      <c r="W117" s="164">
        <f>IF(AND(W111&gt;Y111,$AK93&gt;7,$AK92&gt;1,ISNUMBER(W111),ISNUMBER(Y111)),1,0)</f>
        <v>0</v>
      </c>
      <c r="X117" s="164"/>
      <c r="Y117" s="165">
        <f>IF(AND(Y111&gt;W111,$AK93&gt;7,$AK92&gt;1,ISNUMBER(W111),ISNUMBER(Y111)),1,0)</f>
        <v>0</v>
      </c>
      <c r="Z117" s="164">
        <f>IF(AND(Z111&gt;AB111,$AK93&gt;8,$AK92&gt;1,ISNUMBER(Z111),ISNUMBER(AB111)),1,0)</f>
        <v>0</v>
      </c>
      <c r="AA117" s="164"/>
      <c r="AB117" s="165">
        <f>IF(AND(AB111&gt;Z111,$AK93&gt;8,$AK92&gt;1,ISNUMBER(Z111),ISNUMBER(AB111)),1,0)</f>
        <v>0</v>
      </c>
      <c r="AC117" s="164">
        <f>IF(AND(AC111&gt;AE111,$AK93&gt;9,$AK92&gt;1,ISNUMBER(AC111),ISNUMBER(AE111)),1,0)</f>
        <v>0</v>
      </c>
      <c r="AD117" s="164"/>
      <c r="AE117" s="165">
        <f>IF(AND(AE111&gt;AC111,$AK93&gt;9,$AK92&gt;1,ISNUMBER(AC111),ISNUMBER(AE111)),1,0)</f>
        <v>0</v>
      </c>
      <c r="AT117" s="513"/>
      <c r="AU117" s="513"/>
      <c r="AV117" s="513"/>
      <c r="AW117" s="514"/>
      <c r="AX117" s="513"/>
      <c r="AY117" s="513"/>
    </row>
    <row r="118" spans="1:51" s="115" customFormat="1" ht="12.75" hidden="1" customHeight="1">
      <c r="A118" s="115" t="s">
        <v>203</v>
      </c>
      <c r="B118" s="164">
        <f>IF(AND(B112&gt;D112,$AK93&gt;0,$AK92&gt;2,ISNUMBER(B112),ISNUMBER(D112)),1,0)</f>
        <v>0</v>
      </c>
      <c r="C118" s="164"/>
      <c r="D118" s="165">
        <f>IF(AND(D112&gt;B112,$AK93&gt;0,$AK92&gt;2,ISNUMBER(B112),ISNUMBER(D112)),1,0)</f>
        <v>0</v>
      </c>
      <c r="E118" s="164">
        <f>IF(AND(E112&gt;G112,$AK93&gt;1,$AK92&gt;2,ISNUMBER(E112),ISNUMBER(G112)),1,0)</f>
        <v>0</v>
      </c>
      <c r="F118" s="164"/>
      <c r="G118" s="165">
        <f>IF(AND(G112&gt;E112,$AK93&gt;1,$AK92&gt;2,ISNUMBER(E112),ISNUMBER(G112)),1,0)</f>
        <v>0</v>
      </c>
      <c r="H118" s="164">
        <f>IF(AND(H112&gt;J112,$AK93&gt;2,$AK92&gt;2,ISNUMBER(H112),ISNUMBER(J112)),1,0)</f>
        <v>0</v>
      </c>
      <c r="I118" s="164"/>
      <c r="J118" s="165">
        <f>IF(AND(J112&gt;H112,$AK93&gt;2,$AK92&gt;2,ISNUMBER(H112),ISNUMBER(J112)),1,0)</f>
        <v>0</v>
      </c>
      <c r="K118" s="164">
        <f>IF(AND(K112&gt;M112,$AK93&gt;3,$AK92&gt;2,ISNUMBER(K112),ISNUMBER(M112)),1,0)</f>
        <v>0</v>
      </c>
      <c r="L118" s="164"/>
      <c r="M118" s="165">
        <f>IF(AND(M112&gt;K112,$AK93&gt;3,$AK92&gt;2,ISNUMBER(K112),ISNUMBER(M112)),1,0)</f>
        <v>0</v>
      </c>
      <c r="N118" s="164">
        <f>IF(AND(N112&gt;P112,$AK93&gt;4,$AK92&gt;2,ISNUMBER(N112),ISNUMBER(P112)),1,0)</f>
        <v>0</v>
      </c>
      <c r="O118" s="164"/>
      <c r="P118" s="165">
        <f>IF(AND(P112&gt;N112,$AK93&gt;4,$AK92&gt;2,ISNUMBER(N112),ISNUMBER(P112)),1,0)</f>
        <v>0</v>
      </c>
      <c r="Q118" s="164">
        <f>IF(AND(Q112&gt;S112,$AK93&gt;5,$AK92&gt;2,ISNUMBER(Q112),ISNUMBER(S112)),1,0)</f>
        <v>0</v>
      </c>
      <c r="R118" s="164"/>
      <c r="S118" s="165">
        <f>IF(AND(S112&gt;Q112,$AK93&gt;5,$AK92&gt;2,ISNUMBER(Q112),ISNUMBER(S112)),1,0)</f>
        <v>0</v>
      </c>
      <c r="T118" s="164">
        <f>IF(AND(T112&gt;V112,$AK93&gt;6,$AK92&gt;2,ISNUMBER(T112),ISNUMBER(V112)),1,0)</f>
        <v>0</v>
      </c>
      <c r="U118" s="164"/>
      <c r="V118" s="165">
        <f>IF(AND(V112&gt;T112,$AK93&gt;6,$AK92&gt;2,ISNUMBER(T112),ISNUMBER(V112)),1,0)</f>
        <v>0</v>
      </c>
      <c r="W118" s="164">
        <f>IF(AND(W112&gt;Y112,$AK93&gt;7,$AK92&gt;2,ISNUMBER(W112),ISNUMBER(Y112)),1,0)</f>
        <v>0</v>
      </c>
      <c r="X118" s="164"/>
      <c r="Y118" s="165">
        <f>IF(AND(Y112&gt;W112,$AK93&gt;7,$AK92&gt;2,ISNUMBER(W112),ISNUMBER(Y112)),1,0)</f>
        <v>0</v>
      </c>
      <c r="Z118" s="164">
        <f>IF(AND(Z112&gt;AB112,$AK93&gt;8,$AK92&gt;2,ISNUMBER(Z112),ISNUMBER(AB112)),1,0)</f>
        <v>0</v>
      </c>
      <c r="AA118" s="164"/>
      <c r="AB118" s="165">
        <f>IF(AND(AB112&gt;Z112,$AK93&gt;8,$AK92&gt;2,ISNUMBER(Z112),ISNUMBER(AB112)),1,0)</f>
        <v>0</v>
      </c>
      <c r="AC118" s="164">
        <f>IF(AND(AC112&gt;AE112,$AK93&gt;9,$AK92&gt;2,ISNUMBER(AC112),ISNUMBER(AE112)),1,0)</f>
        <v>0</v>
      </c>
      <c r="AD118" s="164"/>
      <c r="AE118" s="165">
        <f>IF(AND(AE112&gt;AC112,$AK93&gt;9,$AK92&gt;2,ISNUMBER(AC112),ISNUMBER(AE112)),1,0)</f>
        <v>0</v>
      </c>
      <c r="AT118" s="513"/>
      <c r="AU118" s="513"/>
      <c r="AV118" s="513"/>
      <c r="AW118" s="514"/>
      <c r="AX118" s="513"/>
      <c r="AY118" s="513"/>
    </row>
    <row r="119" spans="1:51" s="115" customFormat="1" ht="12.75" hidden="1" customHeight="1">
      <c r="A119" s="115" t="s">
        <v>204</v>
      </c>
      <c r="B119" s="164">
        <f>IF(AND(B113&gt;D113,$AK93&gt;0,$AK92&gt;3,ISNUMBER(B113),ISNUMBER(D113)),1,0)</f>
        <v>0</v>
      </c>
      <c r="C119" s="164"/>
      <c r="D119" s="165">
        <f>IF(AND(D113&gt;B113,$AK93&gt;0,$AK92&gt;3,ISNUMBER(B113),ISNUMBER(D113)),1,0)</f>
        <v>0</v>
      </c>
      <c r="E119" s="164">
        <f>IF(AND(E113&gt;G113,$AK93&gt;1,$AK92&gt;3,ISNUMBER(E113),ISNUMBER(G113)),1,0)</f>
        <v>0</v>
      </c>
      <c r="F119" s="164"/>
      <c r="G119" s="165">
        <f>IF(AND(G113&gt;E113,$AK93&gt;1,$AK92&gt;3,ISNUMBER(E113),ISNUMBER(G113)),1,0)</f>
        <v>0</v>
      </c>
      <c r="H119" s="164">
        <f>IF(AND(H113&gt;J113,$AK93&gt;2,$AK92&gt;3,ISNUMBER(H113),ISNUMBER(J113)),1,0)</f>
        <v>0</v>
      </c>
      <c r="I119" s="164"/>
      <c r="J119" s="165">
        <f>IF(AND(J113&gt;H113,$AK93&gt;2,$AK92&gt;3,ISNUMBER(H113),ISNUMBER(J113)),1,0)</f>
        <v>0</v>
      </c>
      <c r="K119" s="164">
        <f>IF(AND(K113&gt;M113,$AK93&gt;3,$AK92&gt;3,ISNUMBER(K113),ISNUMBER(M113)),1,0)</f>
        <v>0</v>
      </c>
      <c r="L119" s="164"/>
      <c r="M119" s="165">
        <f>IF(AND(M113&gt;K113,$AK93&gt;3,$AK92&gt;3,ISNUMBER(K113),ISNUMBER(M113)),1,0)</f>
        <v>0</v>
      </c>
      <c r="N119" s="164">
        <f>IF(AND(N113&gt;P113,$AK93&gt;4,$AK92&gt;3,ISNUMBER(N113),ISNUMBER(P113)),1,0)</f>
        <v>0</v>
      </c>
      <c r="O119" s="164"/>
      <c r="P119" s="165">
        <f>IF(AND(P113&gt;N113,$AK93&gt;4,$AK92&gt;3,ISNUMBER(N113),ISNUMBER(P113)),1,0)</f>
        <v>0</v>
      </c>
      <c r="Q119" s="164">
        <f>IF(AND(Q113&gt;S113,$AK93&gt;5,$AK92&gt;3,ISNUMBER(Q113),ISNUMBER(S113)),1,0)</f>
        <v>0</v>
      </c>
      <c r="R119" s="164"/>
      <c r="S119" s="165">
        <f>IF(AND(S113&gt;Q113,$AK93&gt;5,$AK92&gt;3,ISNUMBER(Q113),ISNUMBER(S113)),1,0)</f>
        <v>0</v>
      </c>
      <c r="T119" s="164">
        <f>IF(AND(T113&gt;V113,$AK93&gt;6,$AK92&gt;3,ISNUMBER(T113),ISNUMBER(V113)),1,0)</f>
        <v>0</v>
      </c>
      <c r="U119" s="164"/>
      <c r="V119" s="165">
        <f>IF(AND(V113&gt;T113,$AK93&gt;6,$AK92&gt;3,ISNUMBER(T113),ISNUMBER(V113)),1,0)</f>
        <v>0</v>
      </c>
      <c r="W119" s="164">
        <f>IF(AND(W113&gt;Y113,$AK93&gt;7,$AK92&gt;3,ISNUMBER(W113),ISNUMBER(Y113)),1,0)</f>
        <v>0</v>
      </c>
      <c r="X119" s="164"/>
      <c r="Y119" s="165">
        <f>IF(AND(Y113&gt;W113,$AK93&gt;7,$AK92&gt;3,ISNUMBER(W113),ISNUMBER(Y113)),1,0)</f>
        <v>0</v>
      </c>
      <c r="Z119" s="164">
        <f>IF(AND(Z113&gt;AB113,$AK93&gt;8,$AK92&gt;3,ISNUMBER(Z113),ISNUMBER(AB113)),1,0)</f>
        <v>0</v>
      </c>
      <c r="AA119" s="164"/>
      <c r="AB119" s="165">
        <f>IF(AND(AB113&gt;Z113,$AK93&gt;8,$AK92&gt;3,ISNUMBER(Z113),ISNUMBER(AB113)),1,0)</f>
        <v>0</v>
      </c>
      <c r="AC119" s="164">
        <f>IF(AND(AC113&gt;AE113,$AK93&gt;9,$AK92&gt;3,ISNUMBER(AC113),ISNUMBER(AE113)),1,0)</f>
        <v>0</v>
      </c>
      <c r="AD119" s="164"/>
      <c r="AE119" s="165">
        <f>IF(AND(AE113&gt;AC113,$AK93&gt;9,$AK92&gt;3,ISNUMBER(AC113),ISNUMBER(AE113)),1,0)</f>
        <v>0</v>
      </c>
      <c r="AT119" s="513"/>
      <c r="AU119" s="513"/>
      <c r="AV119" s="513"/>
      <c r="AW119" s="514"/>
      <c r="AX119" s="513"/>
      <c r="AY119" s="513"/>
    </row>
    <row r="120" spans="1:51" s="115" customFormat="1" ht="12.75" hidden="1" customHeight="1">
      <c r="A120" s="115" t="s">
        <v>205</v>
      </c>
      <c r="B120" s="164">
        <f>IF(AND(B114&gt;D114,$AK93&gt;0,$AK92&gt;4,ISNUMBER(B114),ISNUMBER(D114)),1,0)</f>
        <v>0</v>
      </c>
      <c r="C120" s="164"/>
      <c r="D120" s="165">
        <f>IF(AND(D114&gt;B114,$AK93&gt;0,$AK92&gt;4,ISNUMBER(B114),ISNUMBER(D114)),1,0)</f>
        <v>0</v>
      </c>
      <c r="E120" s="164">
        <f>IF(AND(E114&gt;G114,$AK93&gt;1,$AK92&gt;4,ISNUMBER(E114),ISNUMBER(G114)),1,0)</f>
        <v>0</v>
      </c>
      <c r="F120" s="164"/>
      <c r="G120" s="165">
        <f>IF(AND(G114&gt;E114,$AK93&gt;1,$AK92&gt;4,ISNUMBER(E114),ISNUMBER(G114)),1,0)</f>
        <v>0</v>
      </c>
      <c r="H120" s="164">
        <f>IF(AND(H114&gt;J114,$AK93&gt;2,$AK92&gt;4,ISNUMBER(H114),ISNUMBER(J114)),1,0)</f>
        <v>0</v>
      </c>
      <c r="I120" s="164"/>
      <c r="J120" s="165">
        <f>IF(AND(J114&gt;H114,$AK93&gt;2,$AK92&gt;4,ISNUMBER(H114),ISNUMBER(J114)),1,0)</f>
        <v>0</v>
      </c>
      <c r="K120" s="164">
        <f>IF(AND(K114&gt;M114,$AK93&gt;3,$AK92&gt;4,ISNUMBER(K114),ISNUMBER(M114)),1,0)</f>
        <v>0</v>
      </c>
      <c r="L120" s="164"/>
      <c r="M120" s="165">
        <f>IF(AND(M114&gt;K114,$AK93&gt;3,$AK92&gt;4,ISNUMBER(K114),ISNUMBER(M114)),1,0)</f>
        <v>0</v>
      </c>
      <c r="N120" s="164">
        <f>IF(AND(N114&gt;P114,$AK93&gt;4,$AK92&gt;4,ISNUMBER(N114),ISNUMBER(P114)),1,0)</f>
        <v>0</v>
      </c>
      <c r="O120" s="164"/>
      <c r="P120" s="165">
        <f>IF(AND(P114&gt;N114,$AK93&gt;4,$AK92&gt;4,ISNUMBER(N114),ISNUMBER(P114)),1,0)</f>
        <v>0</v>
      </c>
      <c r="Q120" s="164">
        <f>IF(AND(Q114&gt;S114,$AK93&gt;5,$AK92&gt;4,ISNUMBER(Q114),ISNUMBER(S114)),1,0)</f>
        <v>0</v>
      </c>
      <c r="R120" s="164"/>
      <c r="S120" s="165">
        <f>IF(AND(S114&gt;Q114,$AK93&gt;5,$AK92&gt;4,ISNUMBER(Q114),ISNUMBER(S114)),1,0)</f>
        <v>0</v>
      </c>
      <c r="T120" s="164">
        <f>IF(AND(T114&gt;V114,$AK93&gt;6,$AK92&gt;4,ISNUMBER(T114),ISNUMBER(V114)),1,0)</f>
        <v>0</v>
      </c>
      <c r="U120" s="164"/>
      <c r="V120" s="165">
        <f>IF(AND(V114&gt;T114,$AK93&gt;6,$AK92&gt;4,ISNUMBER(T114),ISNUMBER(V114)),1,0)</f>
        <v>0</v>
      </c>
      <c r="W120" s="164">
        <f>IF(AND(W114&gt;Y114,$AK93&gt;7,$AK92&gt;4,ISNUMBER(W114),ISNUMBER(Y114)),1,0)</f>
        <v>0</v>
      </c>
      <c r="X120" s="164"/>
      <c r="Y120" s="165">
        <f>IF(AND(Y114&gt;W114,$AK93&gt;7,$AK92&gt;4,ISNUMBER(W114),ISNUMBER(Y114)),1,0)</f>
        <v>0</v>
      </c>
      <c r="Z120" s="164">
        <f>IF(AND(Z114&gt;AB114,$AK93&gt;8,$AK92&gt;4,ISNUMBER(Z114),ISNUMBER(AB114)),1,0)</f>
        <v>0</v>
      </c>
      <c r="AA120" s="164"/>
      <c r="AB120" s="165">
        <f>IF(AND(AB114&gt;Z114,$AK93&gt;8,$AK92&gt;4,ISNUMBER(Z114),ISNUMBER(AB114)),1,0)</f>
        <v>0</v>
      </c>
      <c r="AC120" s="164">
        <f>IF(AND(AC114&gt;AE114,$AK93&gt;9,$AK92&gt;4,ISNUMBER(AC114),ISNUMBER(AE114)),1,0)</f>
        <v>0</v>
      </c>
      <c r="AD120" s="164"/>
      <c r="AE120" s="165">
        <f>IF(AND(AE114&gt;AC114,$AK93&gt;9,$AK92&gt;4,ISNUMBER(AC114),ISNUMBER(AE114)),1,0)</f>
        <v>0</v>
      </c>
      <c r="AT120" s="513"/>
      <c r="AU120" s="513"/>
      <c r="AV120" s="513"/>
      <c r="AW120" s="514"/>
      <c r="AX120" s="513"/>
      <c r="AY120" s="513"/>
    </row>
    <row r="121" spans="1:51" s="115" customFormat="1" ht="38.25" hidden="1" customHeight="1">
      <c r="A121" s="167" t="s">
        <v>206</v>
      </c>
      <c r="B121" s="115">
        <f>SUM(B116:B120)</f>
        <v>2</v>
      </c>
      <c r="D121" s="168">
        <f>SUM(D116:D120)</f>
        <v>0</v>
      </c>
      <c r="E121" s="115">
        <f>SUM(E116:E120)</f>
        <v>1</v>
      </c>
      <c r="G121" s="168">
        <f>SUM(G116:G120)</f>
        <v>1</v>
      </c>
      <c r="H121" s="115">
        <f>SUM(H116:H120)</f>
        <v>2</v>
      </c>
      <c r="J121" s="168">
        <f>SUM(J116:J120)</f>
        <v>0</v>
      </c>
      <c r="K121" s="115">
        <f>SUM(K116:K120)</f>
        <v>0</v>
      </c>
      <c r="M121" s="168">
        <f>SUM(M116:M120)</f>
        <v>0</v>
      </c>
      <c r="N121" s="115">
        <f>SUM(N116:N120)</f>
        <v>0</v>
      </c>
      <c r="P121" s="168">
        <f>SUM(P116:P120)</f>
        <v>0</v>
      </c>
      <c r="Q121" s="115">
        <f>SUM(Q116:Q120)</f>
        <v>0</v>
      </c>
      <c r="S121" s="168">
        <f>SUM(S116:S120)</f>
        <v>0</v>
      </c>
      <c r="T121" s="115">
        <f>SUM(T116:T120)</f>
        <v>0</v>
      </c>
      <c r="V121" s="168">
        <f>SUM(V116:V120)</f>
        <v>0</v>
      </c>
      <c r="W121" s="115">
        <f>SUM(W116:W120)</f>
        <v>0</v>
      </c>
      <c r="Y121" s="168">
        <f>SUM(Y116:Y120)</f>
        <v>0</v>
      </c>
      <c r="Z121" s="115">
        <f>SUM(Z116:Z120)</f>
        <v>0</v>
      </c>
      <c r="AB121" s="168">
        <f>SUM(AB116:AB120)</f>
        <v>0</v>
      </c>
      <c r="AC121" s="115">
        <f>SUM(AC116:AC120)</f>
        <v>0</v>
      </c>
      <c r="AE121" s="168">
        <f>SUM(AE116:AE120)</f>
        <v>0</v>
      </c>
      <c r="AT121" s="513"/>
      <c r="AU121" s="513"/>
      <c r="AV121" s="513"/>
      <c r="AW121" s="514"/>
      <c r="AX121" s="513"/>
      <c r="AY121" s="513"/>
    </row>
    <row r="122" spans="1:51" s="115" customFormat="1" ht="25.5" hidden="1" customHeight="1">
      <c r="A122" s="167" t="s">
        <v>207</v>
      </c>
      <c r="B122" s="115">
        <f>IF(B121&gt;D121,IF(C156=AK92,1,IF(C156=AK92-1,1,0)),0)</f>
        <v>1</v>
      </c>
      <c r="C122" s="115">
        <f>B122+D122</f>
        <v>1</v>
      </c>
      <c r="D122" s="168">
        <f>IF(D121&gt;B121,IF(C156=AK92,1,IF(C156=AK92-1,1,0)),0)</f>
        <v>0</v>
      </c>
      <c r="E122" s="115">
        <f>IF(E121&gt;G121,IF(F156=AK92,1,IF(F156=AK92-1,1,0)),0)</f>
        <v>0</v>
      </c>
      <c r="F122" s="115">
        <f>E122+G122</f>
        <v>0</v>
      </c>
      <c r="G122" s="168">
        <f>IF(G121&gt;E121,IF(F156=AK92,1,IF(F156=AK92-1,1,0)),0)</f>
        <v>0</v>
      </c>
      <c r="H122" s="115">
        <f>IF(H121&gt;J121,IF(I156=AK92,1,IF(I156=AK92-1,1,0)),0)</f>
        <v>1</v>
      </c>
      <c r="I122" s="115">
        <f>H122+J122</f>
        <v>1</v>
      </c>
      <c r="J122" s="168">
        <f>IF(J121&gt;H121,IF(I156=AK92,1,IF(I156=AK92-1,1,0)),0)</f>
        <v>0</v>
      </c>
      <c r="K122" s="115">
        <f>IF(K121&gt;M121,IF(L156=AK92,1,IF(L156=AK92-1,1,0)),0)</f>
        <v>0</v>
      </c>
      <c r="L122" s="115">
        <f>K122+M122</f>
        <v>0</v>
      </c>
      <c r="M122" s="168">
        <f>IF(M121&gt;K121,IF(L156=AK92,1,IF(L156=AK92-1,1,0)),0)</f>
        <v>0</v>
      </c>
      <c r="N122" s="115">
        <f>IF(N121&gt;P121,IF(O156=AK92,1,IF(O156=AK92-1,1,0)),0)</f>
        <v>0</v>
      </c>
      <c r="O122" s="115">
        <f>N122+P122</f>
        <v>0</v>
      </c>
      <c r="P122" s="168">
        <f>IF(P121&gt;N121,IF(O156=AK92,1,IF(O156=AK92-1,1,0)),0)</f>
        <v>0</v>
      </c>
      <c r="Q122" s="115">
        <f>IF(Q121&gt;S121,IF(R156=AK92,1,IF(R156=AK92-1,1,0)),0)</f>
        <v>0</v>
      </c>
      <c r="R122" s="115">
        <f>Q122+S122</f>
        <v>0</v>
      </c>
      <c r="S122" s="168">
        <f>IF(S121&gt;Q121,IF(R156=AK92,1,IF(R156=AK92-1,1,0)),0)</f>
        <v>0</v>
      </c>
      <c r="T122" s="115">
        <f>IF(T121&gt;V121,IF(U156=AK92,1,IF(U156=AK92-1,1,0)),0)</f>
        <v>0</v>
      </c>
      <c r="U122" s="115">
        <f>T122+V122</f>
        <v>0</v>
      </c>
      <c r="V122" s="168">
        <f>IF(V121&gt;T121,IF(U156=AK92,1,IF(U156=AK92-1,1,0)),0)</f>
        <v>0</v>
      </c>
      <c r="W122" s="115">
        <f>IF(W121&gt;Y121,IF(X156=AK92,1,IF(X156=AK92-1,1,0)),0)</f>
        <v>0</v>
      </c>
      <c r="X122" s="115">
        <f>W122+Y122</f>
        <v>0</v>
      </c>
      <c r="Y122" s="168">
        <f>IF(Y121&gt;W121,IF(X156=AK92,1,IF(X156=AK92-1,1,0)),0)</f>
        <v>0</v>
      </c>
      <c r="Z122" s="115">
        <f>IF(Z121&gt;AB121,IF(AA156=AK92,1,IF(AA156=AK92-1,1,0)),0)</f>
        <v>0</v>
      </c>
      <c r="AA122" s="115">
        <f>Z122+AB122</f>
        <v>0</v>
      </c>
      <c r="AB122" s="168">
        <f>IF(AB121&gt;Z121,IF(AA156=AK92,1,IF(AA156=AK92-1,1,0)),0)</f>
        <v>0</v>
      </c>
      <c r="AC122" s="115">
        <f>IF(AC121&gt;AE121,IF(AD156=AK92,1,IF(AD156=AK92-1,1,0)),0)</f>
        <v>0</v>
      </c>
      <c r="AD122" s="115">
        <f>AC122+AE122</f>
        <v>0</v>
      </c>
      <c r="AE122" s="168">
        <f>IF(AE121&gt;AC121,IF(AD156=AK92,1,IF(AD156=AK92-1,1,0)),0)</f>
        <v>0</v>
      </c>
      <c r="AT122" s="513"/>
      <c r="AU122" s="513"/>
      <c r="AV122" s="513"/>
      <c r="AW122" s="514"/>
      <c r="AX122" s="513"/>
      <c r="AY122" s="513"/>
    </row>
    <row r="123" spans="1:51" s="115" customFormat="1" ht="25.5" hidden="1" customHeight="1">
      <c r="A123" s="167"/>
      <c r="D123" s="168"/>
      <c r="G123" s="168"/>
      <c r="J123" s="168"/>
      <c r="M123" s="168"/>
      <c r="P123" s="168"/>
      <c r="S123" s="168"/>
      <c r="V123" s="168"/>
      <c r="Y123" s="168"/>
      <c r="AB123" s="168"/>
      <c r="AE123" s="168"/>
      <c r="AT123" s="513"/>
      <c r="AU123" s="513"/>
      <c r="AV123" s="513"/>
      <c r="AW123" s="514"/>
      <c r="AX123" s="513"/>
      <c r="AY123" s="513"/>
    </row>
    <row r="124" spans="1:51" s="115" customFormat="1" ht="12.75" hidden="1" customHeight="1">
      <c r="A124" s="115" t="s">
        <v>208</v>
      </c>
      <c r="B124" s="115">
        <f>IF(B116=1,B110,0)</f>
        <v>20</v>
      </c>
      <c r="D124" s="168">
        <f t="shared" ref="D124:E128" si="11">IF(D116=1,D110,0)</f>
        <v>0</v>
      </c>
      <c r="E124" s="115">
        <f t="shared" si="11"/>
        <v>22</v>
      </c>
      <c r="G124" s="168">
        <f t="shared" ref="G124:H128" si="12">IF(G116=1,G110,0)</f>
        <v>0</v>
      </c>
      <c r="H124" s="115">
        <f t="shared" si="12"/>
        <v>24</v>
      </c>
      <c r="J124" s="168">
        <f t="shared" ref="J124:K128" si="13">IF(J116=1,J110,0)</f>
        <v>0</v>
      </c>
      <c r="K124" s="115">
        <f t="shared" si="13"/>
        <v>0</v>
      </c>
      <c r="M124" s="168">
        <f t="shared" ref="M124:N128" si="14">IF(M116=1,M110,0)</f>
        <v>0</v>
      </c>
      <c r="N124" s="115">
        <f t="shared" si="14"/>
        <v>0</v>
      </c>
      <c r="P124" s="168">
        <f t="shared" ref="P124:Q128" si="15">IF(P116=1,P110,0)</f>
        <v>0</v>
      </c>
      <c r="Q124" s="115">
        <f t="shared" si="15"/>
        <v>0</v>
      </c>
      <c r="S124" s="168">
        <f t="shared" ref="S124:T128" si="16">IF(S116=1,S110,0)</f>
        <v>0</v>
      </c>
      <c r="T124" s="115">
        <f t="shared" si="16"/>
        <v>0</v>
      </c>
      <c r="V124" s="168">
        <f t="shared" ref="V124:W128" si="17">IF(V116=1,V110,0)</f>
        <v>0</v>
      </c>
      <c r="W124" s="115">
        <f t="shared" si="17"/>
        <v>0</v>
      </c>
      <c r="Y124" s="168">
        <f t="shared" ref="Y124:Z128" si="18">IF(Y116=1,Y110,0)</f>
        <v>0</v>
      </c>
      <c r="Z124" s="115">
        <f t="shared" si="18"/>
        <v>0</v>
      </c>
      <c r="AB124" s="168">
        <f t="shared" ref="AB124:AC128" si="19">IF(AB116=1,AB110,0)</f>
        <v>0</v>
      </c>
      <c r="AC124" s="115">
        <f t="shared" si="19"/>
        <v>0</v>
      </c>
      <c r="AE124" s="168">
        <f>IF(AE116=1,AE110,0)</f>
        <v>0</v>
      </c>
      <c r="AT124" s="513"/>
      <c r="AU124" s="513"/>
      <c r="AV124" s="513"/>
      <c r="AW124" s="514"/>
      <c r="AX124" s="513"/>
      <c r="AY124" s="513"/>
    </row>
    <row r="125" spans="1:51" s="115" customFormat="1" ht="12.75" hidden="1" customHeight="1">
      <c r="A125" s="115" t="s">
        <v>209</v>
      </c>
      <c r="B125" s="115">
        <f>IF(B117=1,B111,0)</f>
        <v>20</v>
      </c>
      <c r="D125" s="168">
        <f t="shared" si="11"/>
        <v>0</v>
      </c>
      <c r="E125" s="115">
        <f t="shared" si="11"/>
        <v>0</v>
      </c>
      <c r="G125" s="168">
        <f t="shared" si="12"/>
        <v>18</v>
      </c>
      <c r="H125" s="115">
        <f t="shared" si="12"/>
        <v>17</v>
      </c>
      <c r="J125" s="168">
        <f t="shared" si="13"/>
        <v>0</v>
      </c>
      <c r="K125" s="115">
        <f t="shared" si="13"/>
        <v>0</v>
      </c>
      <c r="M125" s="168">
        <f t="shared" si="14"/>
        <v>0</v>
      </c>
      <c r="N125" s="115">
        <f t="shared" si="14"/>
        <v>0</v>
      </c>
      <c r="P125" s="168">
        <f t="shared" si="15"/>
        <v>0</v>
      </c>
      <c r="Q125" s="115">
        <f t="shared" si="15"/>
        <v>0</v>
      </c>
      <c r="S125" s="168">
        <f t="shared" si="16"/>
        <v>0</v>
      </c>
      <c r="T125" s="115">
        <f t="shared" si="16"/>
        <v>0</v>
      </c>
      <c r="V125" s="168">
        <f t="shared" si="17"/>
        <v>0</v>
      </c>
      <c r="W125" s="115">
        <f t="shared" si="17"/>
        <v>0</v>
      </c>
      <c r="Y125" s="168">
        <f t="shared" si="18"/>
        <v>0</v>
      </c>
      <c r="Z125" s="115">
        <f t="shared" si="18"/>
        <v>0</v>
      </c>
      <c r="AB125" s="168">
        <f t="shared" si="19"/>
        <v>0</v>
      </c>
      <c r="AC125" s="115">
        <f t="shared" si="19"/>
        <v>0</v>
      </c>
      <c r="AE125" s="168">
        <f>IF(AE117=1,AE111,0)</f>
        <v>0</v>
      </c>
      <c r="AT125" s="513"/>
      <c r="AU125" s="513"/>
      <c r="AV125" s="513"/>
      <c r="AW125" s="514"/>
      <c r="AX125" s="513"/>
      <c r="AY125" s="513"/>
    </row>
    <row r="126" spans="1:51" s="115" customFormat="1" ht="12.75" hidden="1" customHeight="1">
      <c r="A126" s="115" t="s">
        <v>210</v>
      </c>
      <c r="B126" s="115">
        <f>IF(B118=1,B112,0)</f>
        <v>0</v>
      </c>
      <c r="D126" s="168">
        <f t="shared" si="11"/>
        <v>0</v>
      </c>
      <c r="E126" s="115">
        <f t="shared" si="11"/>
        <v>0</v>
      </c>
      <c r="G126" s="168">
        <f t="shared" si="12"/>
        <v>0</v>
      </c>
      <c r="H126" s="115">
        <f t="shared" si="12"/>
        <v>0</v>
      </c>
      <c r="J126" s="168">
        <f t="shared" si="13"/>
        <v>0</v>
      </c>
      <c r="K126" s="115">
        <f t="shared" si="13"/>
        <v>0</v>
      </c>
      <c r="M126" s="168">
        <f t="shared" si="14"/>
        <v>0</v>
      </c>
      <c r="N126" s="115">
        <f t="shared" si="14"/>
        <v>0</v>
      </c>
      <c r="P126" s="168">
        <f t="shared" si="15"/>
        <v>0</v>
      </c>
      <c r="Q126" s="115">
        <f t="shared" si="15"/>
        <v>0</v>
      </c>
      <c r="S126" s="168">
        <f t="shared" si="16"/>
        <v>0</v>
      </c>
      <c r="T126" s="115">
        <f t="shared" si="16"/>
        <v>0</v>
      </c>
      <c r="V126" s="168">
        <f t="shared" si="17"/>
        <v>0</v>
      </c>
      <c r="W126" s="115">
        <f t="shared" si="17"/>
        <v>0</v>
      </c>
      <c r="Y126" s="168">
        <f t="shared" si="18"/>
        <v>0</v>
      </c>
      <c r="Z126" s="115">
        <f t="shared" si="18"/>
        <v>0</v>
      </c>
      <c r="AB126" s="168">
        <f t="shared" si="19"/>
        <v>0</v>
      </c>
      <c r="AC126" s="115">
        <f t="shared" si="19"/>
        <v>0</v>
      </c>
      <c r="AE126" s="168">
        <f>IF(AE118=1,AE112,0)</f>
        <v>0</v>
      </c>
      <c r="AT126" s="513"/>
      <c r="AU126" s="513"/>
      <c r="AV126" s="513"/>
      <c r="AW126" s="514"/>
      <c r="AX126" s="513"/>
      <c r="AY126" s="513"/>
    </row>
    <row r="127" spans="1:51" s="115" customFormat="1" ht="12.75" hidden="1" customHeight="1">
      <c r="A127" s="115" t="s">
        <v>211</v>
      </c>
      <c r="B127" s="115">
        <f>IF(B119=1,B113,0)</f>
        <v>0</v>
      </c>
      <c r="D127" s="168">
        <f t="shared" si="11"/>
        <v>0</v>
      </c>
      <c r="E127" s="115">
        <f t="shared" si="11"/>
        <v>0</v>
      </c>
      <c r="G127" s="168">
        <f t="shared" si="12"/>
        <v>0</v>
      </c>
      <c r="H127" s="115">
        <f t="shared" si="12"/>
        <v>0</v>
      </c>
      <c r="J127" s="168">
        <f t="shared" si="13"/>
        <v>0</v>
      </c>
      <c r="K127" s="115">
        <f t="shared" si="13"/>
        <v>0</v>
      </c>
      <c r="M127" s="168">
        <f t="shared" si="14"/>
        <v>0</v>
      </c>
      <c r="N127" s="115">
        <f t="shared" si="14"/>
        <v>0</v>
      </c>
      <c r="P127" s="168">
        <f t="shared" si="15"/>
        <v>0</v>
      </c>
      <c r="Q127" s="115">
        <f t="shared" si="15"/>
        <v>0</v>
      </c>
      <c r="S127" s="168">
        <f t="shared" si="16"/>
        <v>0</v>
      </c>
      <c r="T127" s="115">
        <f t="shared" si="16"/>
        <v>0</v>
      </c>
      <c r="V127" s="168">
        <f t="shared" si="17"/>
        <v>0</v>
      </c>
      <c r="W127" s="115">
        <f t="shared" si="17"/>
        <v>0</v>
      </c>
      <c r="Y127" s="168">
        <f t="shared" si="18"/>
        <v>0</v>
      </c>
      <c r="Z127" s="115">
        <f t="shared" si="18"/>
        <v>0</v>
      </c>
      <c r="AB127" s="168">
        <f t="shared" si="19"/>
        <v>0</v>
      </c>
      <c r="AC127" s="115">
        <f t="shared" si="19"/>
        <v>0</v>
      </c>
      <c r="AE127" s="168">
        <f>IF(AE119=1,AE113,0)</f>
        <v>0</v>
      </c>
      <c r="AT127" s="513"/>
      <c r="AU127" s="513"/>
      <c r="AV127" s="513"/>
      <c r="AW127" s="514"/>
      <c r="AX127" s="513"/>
      <c r="AY127" s="513"/>
    </row>
    <row r="128" spans="1:51" s="115" customFormat="1" ht="12.75" hidden="1" customHeight="1">
      <c r="A128" s="115" t="s">
        <v>212</v>
      </c>
      <c r="B128" s="115">
        <f>IF(B120=1,B114,0)</f>
        <v>0</v>
      </c>
      <c r="D128" s="168">
        <f t="shared" si="11"/>
        <v>0</v>
      </c>
      <c r="E128" s="115">
        <f t="shared" si="11"/>
        <v>0</v>
      </c>
      <c r="G128" s="168">
        <f t="shared" si="12"/>
        <v>0</v>
      </c>
      <c r="H128" s="115">
        <f t="shared" si="12"/>
        <v>0</v>
      </c>
      <c r="J128" s="168">
        <f t="shared" si="13"/>
        <v>0</v>
      </c>
      <c r="K128" s="115">
        <f t="shared" si="13"/>
        <v>0</v>
      </c>
      <c r="M128" s="168">
        <f t="shared" si="14"/>
        <v>0</v>
      </c>
      <c r="N128" s="115">
        <f t="shared" si="14"/>
        <v>0</v>
      </c>
      <c r="P128" s="168">
        <f t="shared" si="15"/>
        <v>0</v>
      </c>
      <c r="Q128" s="115">
        <f t="shared" si="15"/>
        <v>0</v>
      </c>
      <c r="S128" s="168">
        <f t="shared" si="16"/>
        <v>0</v>
      </c>
      <c r="T128" s="115">
        <f t="shared" si="16"/>
        <v>0</v>
      </c>
      <c r="V128" s="168">
        <f t="shared" si="17"/>
        <v>0</v>
      </c>
      <c r="W128" s="115">
        <f t="shared" si="17"/>
        <v>0</v>
      </c>
      <c r="Y128" s="168">
        <f t="shared" si="18"/>
        <v>0</v>
      </c>
      <c r="Z128" s="115">
        <f t="shared" si="18"/>
        <v>0</v>
      </c>
      <c r="AB128" s="168">
        <f t="shared" si="19"/>
        <v>0</v>
      </c>
      <c r="AC128" s="115">
        <f t="shared" si="19"/>
        <v>0</v>
      </c>
      <c r="AE128" s="168">
        <f>IF(AE120=1,AE114,0)</f>
        <v>0</v>
      </c>
      <c r="AT128" s="513"/>
      <c r="AU128" s="513"/>
      <c r="AV128" s="513"/>
      <c r="AW128" s="514"/>
      <c r="AX128" s="513"/>
      <c r="AY128" s="513"/>
    </row>
    <row r="129" spans="1:51" s="115" customFormat="1" ht="38.25" hidden="1" customHeight="1">
      <c r="A129" s="167" t="s">
        <v>213</v>
      </c>
      <c r="B129" s="115">
        <f>SUM(B124:D128)</f>
        <v>40</v>
      </c>
      <c r="D129" s="168"/>
      <c r="E129" s="115">
        <f>SUM(E124:G128)</f>
        <v>40</v>
      </c>
      <c r="G129" s="168"/>
      <c r="H129" s="115">
        <f>SUM(H124:J128)</f>
        <v>41</v>
      </c>
      <c r="J129" s="168"/>
      <c r="K129" s="115">
        <f>SUM(K124:M128)</f>
        <v>0</v>
      </c>
      <c r="M129" s="168"/>
      <c r="N129" s="115">
        <f>SUM(N124:P128)</f>
        <v>0</v>
      </c>
      <c r="P129" s="168"/>
      <c r="Q129" s="115">
        <f>SUM(Q124:S128)</f>
        <v>0</v>
      </c>
      <c r="S129" s="168"/>
      <c r="T129" s="115">
        <f>SUM(T124:V128)</f>
        <v>0</v>
      </c>
      <c r="V129" s="168"/>
      <c r="W129" s="115">
        <f>SUM(W124:Y128)</f>
        <v>0</v>
      </c>
      <c r="Y129" s="168"/>
      <c r="Z129" s="115">
        <f>SUM(Z124:AB128)</f>
        <v>0</v>
      </c>
      <c r="AB129" s="168"/>
      <c r="AC129" s="115">
        <f>SUM(AC124:AE128)</f>
        <v>0</v>
      </c>
      <c r="AE129" s="168"/>
      <c r="AT129" s="513"/>
      <c r="AU129" s="513"/>
      <c r="AV129" s="513"/>
      <c r="AW129" s="514"/>
      <c r="AX129" s="513"/>
      <c r="AY129" s="513"/>
    </row>
    <row r="130" spans="1:51" s="115" customFormat="1" ht="38.25" hidden="1" customHeight="1">
      <c r="A130" s="115" t="s">
        <v>214</v>
      </c>
      <c r="D130" s="168"/>
      <c r="G130" s="168"/>
      <c r="J130" s="168"/>
      <c r="M130" s="168"/>
      <c r="P130" s="168"/>
      <c r="S130" s="168"/>
      <c r="V130" s="168"/>
      <c r="Y130" s="168"/>
      <c r="AB130" s="168"/>
      <c r="AE130" s="168"/>
      <c r="AF130" s="167" t="s">
        <v>215</v>
      </c>
      <c r="AG130" s="115" t="s">
        <v>216</v>
      </c>
      <c r="AT130" s="513"/>
      <c r="AU130" s="513"/>
      <c r="AV130" s="513"/>
      <c r="AW130" s="514"/>
      <c r="AX130" s="513"/>
      <c r="AY130" s="513"/>
    </row>
    <row r="131" spans="1:51" s="115" customFormat="1" ht="12.75" hidden="1" customHeight="1">
      <c r="A131" s="115" t="s">
        <v>38</v>
      </c>
      <c r="B131" s="115">
        <f>IF(B109=1,IF(B122=1,1,0),0)</f>
        <v>1</v>
      </c>
      <c r="D131" s="168">
        <f>IF(D109=1,IF(D122=1,1,0),0)</f>
        <v>0</v>
      </c>
      <c r="E131" s="115">
        <f>IF(E109=1,IF(E122=1,1,0),0)</f>
        <v>0</v>
      </c>
      <c r="G131" s="168">
        <f>IF(G109=1,IF(G122=1,1,0),0)</f>
        <v>0</v>
      </c>
      <c r="H131" s="115">
        <f>IF(H109=1,IF(H122=1,1,0),0)</f>
        <v>1</v>
      </c>
      <c r="J131" s="168">
        <f>IF(J109=1,IF(J122=1,1,0),0)</f>
        <v>0</v>
      </c>
      <c r="K131" s="115">
        <f>IF(K109=1,IF(K122=1,1,0),0)</f>
        <v>0</v>
      </c>
      <c r="M131" s="168">
        <f>IF(M109=1,IF(M122=1,1,0),0)</f>
        <v>0</v>
      </c>
      <c r="N131" s="115">
        <f>IF(N109=1,IF(N122=1,1,0),0)</f>
        <v>0</v>
      </c>
      <c r="P131" s="168">
        <f>IF(P109=1,IF(P122=1,1,0),0)</f>
        <v>0</v>
      </c>
      <c r="Q131" s="115">
        <f>IF(Q109=1,IF(Q122=1,1,0),0)</f>
        <v>0</v>
      </c>
      <c r="S131" s="168">
        <f>IF(S109=1,IF(S122=1,1,0),0)</f>
        <v>0</v>
      </c>
      <c r="T131" s="115">
        <f>IF(T109=1,IF(T122=1,1,0),0)</f>
        <v>0</v>
      </c>
      <c r="V131" s="168">
        <f>IF(V109=1,IF(V122=1,1,0),0)</f>
        <v>0</v>
      </c>
      <c r="W131" s="115">
        <f>IF(W109=1,IF(W122=1,1,0),0)</f>
        <v>0</v>
      </c>
      <c r="Y131" s="168">
        <f>IF(Y109=1,IF(Y122=1,1,0),0)</f>
        <v>0</v>
      </c>
      <c r="Z131" s="115">
        <f>IF(Z109=1,IF(Z122=1,1,0),0)</f>
        <v>0</v>
      </c>
      <c r="AB131" s="168">
        <f>IF(AB109=1,IF(AB122=1,1,0),0)</f>
        <v>0</v>
      </c>
      <c r="AC131" s="115">
        <f>IF(AC109=1,IF(AC122=1,1,0),0)</f>
        <v>0</v>
      </c>
      <c r="AE131" s="168">
        <f>IF(AE109=1,IF(AE122=1,1,0),0)</f>
        <v>0</v>
      </c>
      <c r="AF131" s="115">
        <f>SUM(B131:AE131)</f>
        <v>2</v>
      </c>
      <c r="AG131" s="115">
        <f>AF137-AF131</f>
        <v>0</v>
      </c>
      <c r="AT131" s="513"/>
      <c r="AU131" s="513"/>
      <c r="AV131" s="513"/>
      <c r="AW131" s="514"/>
      <c r="AX131" s="513"/>
      <c r="AY131" s="513"/>
    </row>
    <row r="132" spans="1:51" s="115" customFormat="1" ht="12.75" hidden="1" customHeight="1">
      <c r="A132" s="115" t="s">
        <v>39</v>
      </c>
      <c r="B132" s="115">
        <f>IF(B109=2,IF(B122=1,1,0),0)</f>
        <v>0</v>
      </c>
      <c r="D132" s="168">
        <f>IF(D109=2,IF(D122=1,1,0),0)</f>
        <v>0</v>
      </c>
      <c r="E132" s="115">
        <f>IF(E109=2,IF(E122=1,1,0),0)</f>
        <v>0</v>
      </c>
      <c r="G132" s="168">
        <f>IF(G109=2,IF(G122=1,1,0),0)</f>
        <v>0</v>
      </c>
      <c r="H132" s="115">
        <f>IF(H109=2,IF(H122=1,1,0),0)</f>
        <v>0</v>
      </c>
      <c r="J132" s="168">
        <f>IF(J109=2,IF(J122=1,1,0),0)</f>
        <v>0</v>
      </c>
      <c r="K132" s="115">
        <f>IF(K109=2,IF(K122=1,1,0),0)</f>
        <v>0</v>
      </c>
      <c r="M132" s="168">
        <f>IF(M109=2,IF(M122=1,1,0),0)</f>
        <v>0</v>
      </c>
      <c r="N132" s="115">
        <f>IF(N109=2,IF(N122=1,1,0),0)</f>
        <v>0</v>
      </c>
      <c r="P132" s="168">
        <f>IF(P109=2,IF(P122=1,1,0),0)</f>
        <v>0</v>
      </c>
      <c r="Q132" s="115">
        <f>IF(Q109=2,IF(Q122=1,1,0),0)</f>
        <v>0</v>
      </c>
      <c r="S132" s="168">
        <f>IF(S109=2,IF(S122=1,1,0),0)</f>
        <v>0</v>
      </c>
      <c r="T132" s="115">
        <f>IF(T109=2,IF(T122=1,1,0),0)</f>
        <v>0</v>
      </c>
      <c r="V132" s="168">
        <f>IF(V109=2,IF(V122=1,1,0),0)</f>
        <v>0</v>
      </c>
      <c r="W132" s="115">
        <f>IF(W109=2,IF(W122=1,1,0),0)</f>
        <v>0</v>
      </c>
      <c r="Y132" s="168">
        <f>IF(Y109=2,IF(Y122=1,1,0),0)</f>
        <v>0</v>
      </c>
      <c r="Z132" s="115">
        <f>IF(Z109=2,IF(Z122=1,1,0),0)</f>
        <v>0</v>
      </c>
      <c r="AB132" s="168">
        <f>IF(AB109=2,IF(AB122=1,1,0),0)</f>
        <v>0</v>
      </c>
      <c r="AC132" s="115">
        <f>IF(AC109=2,IF(AC122=1,1,0),0)</f>
        <v>0</v>
      </c>
      <c r="AE132" s="168">
        <f>IF(AE109=2,IF(AE122=1,1,0),0)</f>
        <v>0</v>
      </c>
      <c r="AF132" s="115">
        <f>SUM(B132:AE132)</f>
        <v>0</v>
      </c>
      <c r="AG132" s="115">
        <f>AF138-AF132</f>
        <v>1</v>
      </c>
      <c r="AT132" s="513"/>
      <c r="AU132" s="513"/>
      <c r="AV132" s="513"/>
      <c r="AW132" s="514"/>
      <c r="AX132" s="513"/>
      <c r="AY132" s="513"/>
    </row>
    <row r="133" spans="1:51" s="115" customFormat="1" ht="12.75" hidden="1" customHeight="1">
      <c r="A133" s="115" t="s">
        <v>40</v>
      </c>
      <c r="B133" s="115">
        <f>IF(B109=3,IF(B122=1,1,0),0)</f>
        <v>0</v>
      </c>
      <c r="D133" s="168">
        <f>IF(D109=3,IF(D122=1,1,0),0)</f>
        <v>0</v>
      </c>
      <c r="E133" s="115">
        <f>IF(E109=3,IF(E122=1,1,0),0)</f>
        <v>0</v>
      </c>
      <c r="G133" s="168">
        <f>IF(G109=3,IF(G122=1,1,0),0)</f>
        <v>0</v>
      </c>
      <c r="H133" s="115">
        <f>IF(H109=3,IF(H122=1,1,0),0)</f>
        <v>0</v>
      </c>
      <c r="J133" s="168">
        <f>IF(J109=3,IF(J122=1,1,0),0)</f>
        <v>0</v>
      </c>
      <c r="K133" s="115">
        <f>IF(K109=3,IF(K122=1,1,0),0)</f>
        <v>0</v>
      </c>
      <c r="M133" s="168">
        <f>IF(M109=3,IF(M122=1,1,0),0)</f>
        <v>0</v>
      </c>
      <c r="N133" s="115">
        <f>IF(N109=3,IF(N122=1,1,0),0)</f>
        <v>0</v>
      </c>
      <c r="P133" s="168">
        <f>IF(P109=3,IF(P122=1,1,0),0)</f>
        <v>0</v>
      </c>
      <c r="Q133" s="115">
        <f>IF(Q109=3,IF(Q122=1,1,0),0)</f>
        <v>0</v>
      </c>
      <c r="S133" s="168">
        <f>IF(S109=3,IF(S122=1,1,0),0)</f>
        <v>0</v>
      </c>
      <c r="T133" s="115">
        <f>IF(T109=3,IF(T122=1,1,0),0)</f>
        <v>0</v>
      </c>
      <c r="V133" s="168">
        <f>IF(V109=3,IF(V122=1,1,0),0)</f>
        <v>0</v>
      </c>
      <c r="W133" s="115">
        <f>IF(W109=3,IF(W122=1,1,0),0)</f>
        <v>0</v>
      </c>
      <c r="Y133" s="168">
        <f>IF(Y109=3,IF(Y122=1,1,0),0)</f>
        <v>0</v>
      </c>
      <c r="Z133" s="115">
        <f>IF(Z109=3,IF(Z122=1,1,0),0)</f>
        <v>0</v>
      </c>
      <c r="AB133" s="168">
        <f>IF(AB109=3,IF(AB122=1,1,0),0)</f>
        <v>0</v>
      </c>
      <c r="AC133" s="115">
        <f>IF(AC109=3,IF(AC122=1,1,0),0)</f>
        <v>0</v>
      </c>
      <c r="AE133" s="168">
        <f>IF(AE109=3,IF(AE122=1,1,0),0)</f>
        <v>0</v>
      </c>
      <c r="AF133" s="115">
        <f>SUM(B133:AE133)</f>
        <v>0</v>
      </c>
      <c r="AG133" s="115">
        <f>AF139-AF133</f>
        <v>1</v>
      </c>
      <c r="AT133" s="513"/>
      <c r="AU133" s="513"/>
      <c r="AV133" s="513"/>
      <c r="AW133" s="514"/>
      <c r="AX133" s="513"/>
      <c r="AY133" s="513"/>
    </row>
    <row r="134" spans="1:51" s="115" customFormat="1" ht="12.75" hidden="1" customHeight="1">
      <c r="A134" s="115" t="s">
        <v>41</v>
      </c>
      <c r="B134" s="115">
        <f>IF(B109=4,IF(B122=1,1,0),0)</f>
        <v>0</v>
      </c>
      <c r="D134" s="168">
        <f>IF(D109=4,IF(D122=1,1,0),0)</f>
        <v>0</v>
      </c>
      <c r="E134" s="115">
        <f>IF(E109=4,IF(E122=1,1,0),0)</f>
        <v>0</v>
      </c>
      <c r="G134" s="168">
        <f>IF(G109=4,IF(G122=1,1,0),0)</f>
        <v>0</v>
      </c>
      <c r="H134" s="115">
        <f>IF(H109=4,IF(H122=1,1,0),0)</f>
        <v>0</v>
      </c>
      <c r="J134" s="168">
        <f>IF(J109=4,IF(J122=1,1,0),0)</f>
        <v>0</v>
      </c>
      <c r="K134" s="115">
        <f>IF(K109=4,IF(K122=1,1,0),0)</f>
        <v>0</v>
      </c>
      <c r="M134" s="168">
        <f>IF(M109=4,IF(M122=1,1,0),0)</f>
        <v>0</v>
      </c>
      <c r="N134" s="115">
        <f>IF(N109=4,IF(N122=1,1,0),0)</f>
        <v>0</v>
      </c>
      <c r="P134" s="168">
        <f>IF(P109=4,IF(P122=1,1,0),0)</f>
        <v>0</v>
      </c>
      <c r="Q134" s="115">
        <f>IF(Q109=4,IF(Q122=1,1,0),0)</f>
        <v>0</v>
      </c>
      <c r="S134" s="168">
        <f>IF(S109=4,IF(S122=1,1,0),0)</f>
        <v>0</v>
      </c>
      <c r="T134" s="115">
        <f>IF(T109=4,IF(T122=1,1,0),0)</f>
        <v>0</v>
      </c>
      <c r="V134" s="168">
        <f>IF(V109=4,IF(V122=1,1,0),0)</f>
        <v>0</v>
      </c>
      <c r="W134" s="115">
        <f>IF(W109=4,IF(W122=1,1,0),0)</f>
        <v>0</v>
      </c>
      <c r="Y134" s="168">
        <f>IF(Y109=4,IF(Y122=1,1,0),0)</f>
        <v>0</v>
      </c>
      <c r="Z134" s="115">
        <f>IF(Z109=4,IF(Z122=1,1,0),0)</f>
        <v>0</v>
      </c>
      <c r="AB134" s="168">
        <f>IF(AB109=4,IF(AB122=1,1,0),0)</f>
        <v>0</v>
      </c>
      <c r="AC134" s="115">
        <f>IF(AC109=4,IF(AC122=1,1,0),0)</f>
        <v>0</v>
      </c>
      <c r="AE134" s="168">
        <f>IF(AE109=4,IF(AE122=1,1,0),0)</f>
        <v>0</v>
      </c>
      <c r="AF134" s="115">
        <f>SUM(B134:AE134)</f>
        <v>0</v>
      </c>
      <c r="AG134" s="115">
        <f>AF140-AF134</f>
        <v>0</v>
      </c>
      <c r="AT134" s="513"/>
      <c r="AU134" s="513"/>
      <c r="AV134" s="513"/>
      <c r="AW134" s="514"/>
      <c r="AX134" s="513"/>
      <c r="AY134" s="513"/>
    </row>
    <row r="135" spans="1:51" s="115" customFormat="1" ht="12.75" hidden="1" customHeight="1">
      <c r="A135" s="115" t="s">
        <v>42</v>
      </c>
      <c r="B135" s="115">
        <f>IF(B109=5,IF(B122=1,1,0),0)</f>
        <v>0</v>
      </c>
      <c r="D135" s="168">
        <f>IF(D109=5,IF(D122=1,1,0),0)</f>
        <v>0</v>
      </c>
      <c r="E135" s="115">
        <f>IF(E109=5,IF(E122=1,1,0),0)</f>
        <v>0</v>
      </c>
      <c r="G135" s="168">
        <f>IF(G109=5,IF(G122=1,1,0),0)</f>
        <v>0</v>
      </c>
      <c r="H135" s="115">
        <f>IF(H109=5,IF(H122=1,1,0),0)</f>
        <v>0</v>
      </c>
      <c r="J135" s="168">
        <f>IF(J109=5,IF(J122=1,1,0),0)</f>
        <v>0</v>
      </c>
      <c r="K135" s="115">
        <f>IF(K109=5,IF(K122=1,1,0),0)</f>
        <v>0</v>
      </c>
      <c r="M135" s="168">
        <f>IF(M109=5,IF(M122=1,1,0),0)</f>
        <v>0</v>
      </c>
      <c r="N135" s="115">
        <f>IF(N109=5,IF(N122=1,1,0),0)</f>
        <v>0</v>
      </c>
      <c r="P135" s="168">
        <f>IF(P109=5,IF(P122=1,1,0),0)</f>
        <v>0</v>
      </c>
      <c r="Q135" s="115">
        <f>IF(Q109=5,IF(Q122=1,1,0),0)</f>
        <v>0</v>
      </c>
      <c r="S135" s="168">
        <f>IF(S109=5,IF(S122=1,1,0),0)</f>
        <v>0</v>
      </c>
      <c r="T135" s="115">
        <f>IF(T109=5,IF(T122=1,1,0),0)</f>
        <v>0</v>
      </c>
      <c r="V135" s="168">
        <f>IF(V109=5,IF(V122=1,1,0),0)</f>
        <v>0</v>
      </c>
      <c r="W135" s="115">
        <f>IF(W109=5,IF(W122=1,1,0),0)</f>
        <v>0</v>
      </c>
      <c r="Y135" s="168">
        <f>IF(Y109=5,IF(Y122=1,1,0),0)</f>
        <v>0</v>
      </c>
      <c r="Z135" s="115">
        <f>IF(Z109=5,IF(Z122=1,1,0),0)</f>
        <v>0</v>
      </c>
      <c r="AB135" s="168">
        <f>IF(AB109=5,IF(AB122=1,1,0),0)</f>
        <v>0</v>
      </c>
      <c r="AC135" s="115">
        <f>IF(AC109=5,IF(AC122=1,1,0),0)</f>
        <v>0</v>
      </c>
      <c r="AE135" s="168">
        <f>IF(AE109=5,IF(AE122=1,1,0),0)</f>
        <v>0</v>
      </c>
      <c r="AF135" s="115">
        <f>SUM(B135:AE135)</f>
        <v>0</v>
      </c>
      <c r="AG135" s="115">
        <f>AF141-AF135</f>
        <v>0</v>
      </c>
      <c r="AT135" s="513"/>
      <c r="AU135" s="513"/>
      <c r="AV135" s="513"/>
      <c r="AW135" s="514"/>
      <c r="AX135" s="513"/>
      <c r="AY135" s="513"/>
    </row>
    <row r="136" spans="1:51" s="115" customFormat="1" ht="38.25" hidden="1" customHeight="1">
      <c r="A136" s="167"/>
      <c r="D136" s="168"/>
      <c r="G136" s="168"/>
      <c r="J136" s="168"/>
      <c r="M136" s="168"/>
      <c r="P136" s="168"/>
      <c r="S136" s="168"/>
      <c r="V136" s="168"/>
      <c r="Y136" s="168"/>
      <c r="AB136" s="168"/>
      <c r="AE136" s="168"/>
      <c r="AF136" s="167" t="s">
        <v>217</v>
      </c>
      <c r="AT136" s="513"/>
      <c r="AU136" s="513"/>
      <c r="AV136" s="513"/>
      <c r="AW136" s="514"/>
      <c r="AX136" s="513"/>
      <c r="AY136" s="513"/>
    </row>
    <row r="137" spans="1:51" s="115" customFormat="1" ht="12.75" hidden="1" customHeight="1">
      <c r="A137" s="115" t="s">
        <v>43</v>
      </c>
      <c r="B137" s="115">
        <f>IF(B109=1,IF(C122=1,1,0),0)</f>
        <v>1</v>
      </c>
      <c r="D137" s="168">
        <f>IF(D109=1,IF(C122=1,1,0),0)</f>
        <v>0</v>
      </c>
      <c r="E137" s="115">
        <f>IF(E109=1,IF(F122=1,1,0),0)</f>
        <v>0</v>
      </c>
      <c r="G137" s="168">
        <f>IF(G109=1,IF(F122=1,1,0),0)</f>
        <v>0</v>
      </c>
      <c r="H137" s="115">
        <f>IF(H109=1,IF(I122=1,1,0),0)</f>
        <v>1</v>
      </c>
      <c r="J137" s="168">
        <f>IF(J109=1,IF(I122=1,1,0),0)</f>
        <v>0</v>
      </c>
      <c r="K137" s="115">
        <f>IF(K109=1,IF(L122=1,1,0),0)</f>
        <v>0</v>
      </c>
      <c r="M137" s="168">
        <f>IF(M109=1,IF(L122=1,1,0),0)</f>
        <v>0</v>
      </c>
      <c r="N137" s="115">
        <f>IF(N109=1,IF(O122=1,1,0),0)</f>
        <v>0</v>
      </c>
      <c r="P137" s="168">
        <f>IF(P109=1,IF(O122=1,1,0),0)</f>
        <v>0</v>
      </c>
      <c r="Q137" s="115">
        <f>IF(Q109=1,IF(R122=1,1,0),0)</f>
        <v>0</v>
      </c>
      <c r="S137" s="168">
        <f>IF(S109=1,IF(R122=1,1,0),0)</f>
        <v>0</v>
      </c>
      <c r="T137" s="115">
        <f>IF(T109=1,IF(U122=1,1,0),0)</f>
        <v>0</v>
      </c>
      <c r="V137" s="168">
        <f>IF(V109=1,IF(U122=1,1,0),0)</f>
        <v>0</v>
      </c>
      <c r="W137" s="115">
        <f>IF(W109=1,IF(X122=1,1,0),0)</f>
        <v>0</v>
      </c>
      <c r="Y137" s="168">
        <f>IF(Y109=1,IF(X122=1,1,0),0)</f>
        <v>0</v>
      </c>
      <c r="Z137" s="115">
        <f>IF(Z109=1,IF(AA122=1,1,0),0)</f>
        <v>0</v>
      </c>
      <c r="AB137" s="168">
        <f>IF(AB109=1,IF(AA122=1,1,0),0)</f>
        <v>0</v>
      </c>
      <c r="AC137" s="115">
        <f>IF(AC109=1,IF(AD122=1,1,0),0)</f>
        <v>0</v>
      </c>
      <c r="AE137" s="168">
        <f>IF(AE109=1,IF(AD122=1,1,0),0)</f>
        <v>0</v>
      </c>
      <c r="AF137" s="115">
        <f>SUM(B137:AE137)</f>
        <v>2</v>
      </c>
      <c r="AT137" s="513"/>
      <c r="AU137" s="513"/>
      <c r="AV137" s="513"/>
      <c r="AW137" s="514"/>
      <c r="AX137" s="513"/>
      <c r="AY137" s="513"/>
    </row>
    <row r="138" spans="1:51" s="115" customFormat="1" ht="12.75" hidden="1" customHeight="1">
      <c r="A138" s="115" t="s">
        <v>44</v>
      </c>
      <c r="B138" s="115">
        <f>IF(B109=2,IF(C122=1,1,0),0)</f>
        <v>0</v>
      </c>
      <c r="D138" s="168">
        <f>IF(D109=2,IF(C122=1,1,0),0)</f>
        <v>1</v>
      </c>
      <c r="E138" s="115">
        <f>IF(E109=2,IF(F122=1,1,0),0)</f>
        <v>0</v>
      </c>
      <c r="G138" s="168">
        <f>IF(G109=2,IF(F122=1,1,0),0)</f>
        <v>0</v>
      </c>
      <c r="H138" s="115">
        <f>IF(H109=2,IF(I122=1,1,0),0)</f>
        <v>0</v>
      </c>
      <c r="J138" s="168">
        <f>IF(J109=2,IF(I122=1,1,0),0)</f>
        <v>0</v>
      </c>
      <c r="K138" s="115">
        <f>IF(K109=2,IF(L122=1,1,0),0)</f>
        <v>0</v>
      </c>
      <c r="M138" s="168">
        <f>IF(M109=2,IF(L122=1,1,0),0)</f>
        <v>0</v>
      </c>
      <c r="N138" s="115">
        <f>IF(N109=2,IF(O122=1,1,0),0)</f>
        <v>0</v>
      </c>
      <c r="P138" s="168">
        <f>IF(P109=2,IF(O122=1,1,0),0)</f>
        <v>0</v>
      </c>
      <c r="Q138" s="115">
        <f>IF(Q109=2,IF(R122=1,1,0),0)</f>
        <v>0</v>
      </c>
      <c r="S138" s="168">
        <f>IF(S109=2,IF(R122=1,1,0),0)</f>
        <v>0</v>
      </c>
      <c r="T138" s="115">
        <f>IF(T109=2,IF(U122=1,1,0),0)</f>
        <v>0</v>
      </c>
      <c r="V138" s="168">
        <f>IF(V109=2,IF(U122=1,1,0),0)</f>
        <v>0</v>
      </c>
      <c r="W138" s="115">
        <f>IF(W109=2,IF(X122=1,1,0),0)</f>
        <v>0</v>
      </c>
      <c r="Y138" s="168">
        <f>IF(Y109=2,IF(X122=1,1,0),0)</f>
        <v>0</v>
      </c>
      <c r="Z138" s="115">
        <f>IF(Z109=2,IF(AA122=1,1,0),0)</f>
        <v>0</v>
      </c>
      <c r="AB138" s="168">
        <f>IF(AB109=2,IF(AA122=1,1,0),0)</f>
        <v>0</v>
      </c>
      <c r="AC138" s="115">
        <f>IF(AC109=2,IF(AD122=1,1,0),0)</f>
        <v>0</v>
      </c>
      <c r="AE138" s="168">
        <f>IF(AE109=2,IF(AD122=1,1,0),0)</f>
        <v>0</v>
      </c>
      <c r="AF138" s="115">
        <f>SUM(B138:AE138)</f>
        <v>1</v>
      </c>
      <c r="AT138" s="513"/>
      <c r="AU138" s="513"/>
      <c r="AV138" s="513"/>
      <c r="AW138" s="514"/>
      <c r="AX138" s="513"/>
      <c r="AY138" s="513"/>
    </row>
    <row r="139" spans="1:51" s="115" customFormat="1" ht="12.75" hidden="1" customHeight="1">
      <c r="A139" s="115" t="s">
        <v>45</v>
      </c>
      <c r="B139" s="115">
        <f>IF(B109=3,IF(C122=1,1,0),0)</f>
        <v>0</v>
      </c>
      <c r="D139" s="168">
        <f>IF(D109=3,IF(C122=1,1,0),0)</f>
        <v>0</v>
      </c>
      <c r="E139" s="115">
        <f>IF(E109=3,IF(F122=1,1,0),0)</f>
        <v>0</v>
      </c>
      <c r="G139" s="168">
        <f>IF(G109=3,IF(F122=1,1,0),0)</f>
        <v>0</v>
      </c>
      <c r="H139" s="115">
        <f>IF(H109=3,IF(I122=1,1,0),0)</f>
        <v>0</v>
      </c>
      <c r="J139" s="168">
        <f>IF(J109=3,IF(I122=1,1,0),0)</f>
        <v>1</v>
      </c>
      <c r="K139" s="115">
        <f>IF(K109=3,IF(L122=1,1,0),0)</f>
        <v>0</v>
      </c>
      <c r="M139" s="168">
        <f>IF(M109=3,IF(L122=1,1,0),0)</f>
        <v>0</v>
      </c>
      <c r="N139" s="115">
        <f>IF(N109=3,IF(O122=1,1,0),0)</f>
        <v>0</v>
      </c>
      <c r="P139" s="168">
        <f>IF(P109=3,IF(O122=1,1,0),0)</f>
        <v>0</v>
      </c>
      <c r="Q139" s="115">
        <f>IF(Q109=3,IF(R122=1,1,0),0)</f>
        <v>0</v>
      </c>
      <c r="S139" s="168">
        <f>IF(S109=3,IF(R122=1,1,0),0)</f>
        <v>0</v>
      </c>
      <c r="T139" s="115">
        <f>IF(T109=3,IF(U122=1,1,0),0)</f>
        <v>0</v>
      </c>
      <c r="V139" s="168">
        <f>IF(V109=3,IF(U122=1,1,0),0)</f>
        <v>0</v>
      </c>
      <c r="W139" s="115">
        <f>IF(W109=3,IF(X122=1,1,0),0)</f>
        <v>0</v>
      </c>
      <c r="Y139" s="168">
        <f>IF(Y109=3,IF(X122=1,1,0),0)</f>
        <v>0</v>
      </c>
      <c r="Z139" s="115">
        <f>IF(Z109=3,IF(AA122=1,1,0),0)</f>
        <v>0</v>
      </c>
      <c r="AB139" s="168">
        <f>IF(AB109=3,IF(AA122=1,1,0),0)</f>
        <v>0</v>
      </c>
      <c r="AC139" s="115">
        <f>IF(AC109=3,IF(AD122=1,1,0),0)</f>
        <v>0</v>
      </c>
      <c r="AE139" s="168">
        <f>IF(AE109=3,IF(AD122=1,1,0),0)</f>
        <v>0</v>
      </c>
      <c r="AF139" s="115">
        <f>SUM(B139:AE139)</f>
        <v>1</v>
      </c>
      <c r="AT139" s="513"/>
      <c r="AU139" s="513"/>
      <c r="AV139" s="513"/>
      <c r="AW139" s="514"/>
      <c r="AX139" s="513"/>
      <c r="AY139" s="513"/>
    </row>
    <row r="140" spans="1:51" s="115" customFormat="1" ht="12.75" hidden="1" customHeight="1">
      <c r="A140" s="115" t="s">
        <v>46</v>
      </c>
      <c r="B140" s="115">
        <f>IF(B109=4,IF(C122=1,1,0),0)</f>
        <v>0</v>
      </c>
      <c r="D140" s="168">
        <f>IF(D109=4,IF(C122=1,1,0),0)</f>
        <v>0</v>
      </c>
      <c r="E140" s="115">
        <f>IF(E109=4,IF(F122=1,1,0),0)</f>
        <v>0</v>
      </c>
      <c r="G140" s="168">
        <f>IF(G109=4,IF(F122=1,1,0),0)</f>
        <v>0</v>
      </c>
      <c r="H140" s="115">
        <f>IF(H109=4,IF(I122=1,1,0),0)</f>
        <v>0</v>
      </c>
      <c r="J140" s="168">
        <f>IF(J109=4,IF(I122=1,1,0),0)</f>
        <v>0</v>
      </c>
      <c r="K140" s="115">
        <f>IF(K109=4,IF(L122=1,1,0),0)</f>
        <v>0</v>
      </c>
      <c r="M140" s="168">
        <f>IF(M109=4,IF(L122=1,1,0),0)</f>
        <v>0</v>
      </c>
      <c r="N140" s="115">
        <f>IF(N109=4,IF(O122=1,1,0),0)</f>
        <v>0</v>
      </c>
      <c r="P140" s="168">
        <f>IF(P109=4,IF(O122=1,1,0),0)</f>
        <v>0</v>
      </c>
      <c r="Q140" s="115">
        <f>IF(Q109=4,IF(R122=1,1,0),0)</f>
        <v>0</v>
      </c>
      <c r="S140" s="168">
        <f>IF(S109=4,IF(R122=1,1,0),0)</f>
        <v>0</v>
      </c>
      <c r="T140" s="115">
        <f>IF(T109=4,IF(U122=1,1,0),0)</f>
        <v>0</v>
      </c>
      <c r="V140" s="168">
        <f>IF(V109=4,IF(U122=1,1,0),0)</f>
        <v>0</v>
      </c>
      <c r="W140" s="115">
        <f>IF(W109=4,IF(X122=1,1,0),0)</f>
        <v>0</v>
      </c>
      <c r="Y140" s="168">
        <f>IF(Y109=4,IF(X122=1,1,0),0)</f>
        <v>0</v>
      </c>
      <c r="Z140" s="115">
        <f>IF(Z109=4,IF(AA122=1,1,0),0)</f>
        <v>0</v>
      </c>
      <c r="AB140" s="168">
        <f>IF(AB109=4,IF(AA122=1,1,0),0)</f>
        <v>0</v>
      </c>
      <c r="AC140" s="115">
        <f>IF(AC109=4,IF(AD122=1,1,0),0)</f>
        <v>0</v>
      </c>
      <c r="AE140" s="168">
        <f>IF(AE109=4,IF(AD122=1,1,0),0)</f>
        <v>0</v>
      </c>
      <c r="AF140" s="115">
        <f>SUM(B140:AE140)</f>
        <v>0</v>
      </c>
      <c r="AT140" s="513"/>
      <c r="AU140" s="513"/>
      <c r="AV140" s="513"/>
      <c r="AW140" s="514"/>
      <c r="AX140" s="513"/>
      <c r="AY140" s="513"/>
    </row>
    <row r="141" spans="1:51" s="115" customFormat="1" ht="12.75" hidden="1" customHeight="1">
      <c r="A141" s="115" t="s">
        <v>47</v>
      </c>
      <c r="B141" s="115">
        <f>IF(B109=5,IF(C122=1,1,0),0)</f>
        <v>0</v>
      </c>
      <c r="D141" s="168">
        <f>IF(D109=5,IF(C122=1,1,0),0)</f>
        <v>0</v>
      </c>
      <c r="E141" s="115">
        <f>IF(E109=5,IF(F122=1,1,0),0)</f>
        <v>0</v>
      </c>
      <c r="G141" s="168">
        <f>IF(G109=5,IF(F122=1,1,0),0)</f>
        <v>0</v>
      </c>
      <c r="H141" s="115">
        <f>IF(H109=5,IF(I122=1,1,0),0)</f>
        <v>0</v>
      </c>
      <c r="J141" s="168">
        <f>IF(J109=5,IF(I122=1,1,0),0)</f>
        <v>0</v>
      </c>
      <c r="K141" s="115">
        <f>IF(K109=5,IF(L122=1,1,0),0)</f>
        <v>0</v>
      </c>
      <c r="M141" s="168">
        <f>IF(M109=5,IF(L122=1,1,0),0)</f>
        <v>0</v>
      </c>
      <c r="N141" s="115">
        <f>IF(N109=5,IF(O122=1,1,0),0)</f>
        <v>0</v>
      </c>
      <c r="P141" s="168">
        <f>IF(P109=5,IF(O122=1,1,0),0)</f>
        <v>0</v>
      </c>
      <c r="Q141" s="115">
        <f>IF(Q109=5,IF(R122=1,1,0),0)</f>
        <v>0</v>
      </c>
      <c r="S141" s="168">
        <f>IF(S109=5,IF(R122=1,1,0),0)</f>
        <v>0</v>
      </c>
      <c r="T141" s="115">
        <f>IF(T109=5,IF(U122=1,1,0),0)</f>
        <v>0</v>
      </c>
      <c r="V141" s="168">
        <f>IF(V109=5,IF(U122=1,1,0),0)</f>
        <v>0</v>
      </c>
      <c r="W141" s="115">
        <f>IF(W109=5,IF(X122=1,1,0),0)</f>
        <v>0</v>
      </c>
      <c r="Y141" s="168">
        <f>IF(Y109=5,IF(X122=1,1,0),0)</f>
        <v>0</v>
      </c>
      <c r="Z141" s="115">
        <f>IF(Z109=5,IF(AA122=1,1,0),0)</f>
        <v>0</v>
      </c>
      <c r="AB141" s="168">
        <f>IF(AB109=5,IF(AA122=1,1,0),0)</f>
        <v>0</v>
      </c>
      <c r="AC141" s="115">
        <f>IF(AC109=5,IF(AD122=1,1,0),0)</f>
        <v>0</v>
      </c>
      <c r="AE141" s="168">
        <f>IF(AE109=5,IF(AD122=1,1,0),0)</f>
        <v>0</v>
      </c>
      <c r="AF141" s="115">
        <f>SUM(B141:AE141)</f>
        <v>0</v>
      </c>
      <c r="AT141" s="513"/>
      <c r="AU141" s="513"/>
      <c r="AV141" s="513"/>
      <c r="AW141" s="514"/>
      <c r="AX141" s="513"/>
      <c r="AY141" s="513"/>
    </row>
    <row r="142" spans="1:51" s="115" customFormat="1" ht="38.25" hidden="1" customHeight="1">
      <c r="A142" s="167"/>
      <c r="D142" s="168"/>
      <c r="G142" s="168"/>
      <c r="J142" s="168"/>
      <c r="M142" s="168"/>
      <c r="P142" s="168"/>
      <c r="S142" s="168"/>
      <c r="V142" s="168"/>
      <c r="Y142" s="168"/>
      <c r="AB142" s="168"/>
      <c r="AE142" s="168"/>
      <c r="AF142" s="167" t="s">
        <v>218</v>
      </c>
      <c r="AG142" s="392"/>
      <c r="AH142" s="392"/>
      <c r="AI142" s="392"/>
      <c r="AJ142" s="392"/>
      <c r="AK142" s="392"/>
      <c r="AT142" s="513"/>
      <c r="AU142" s="513"/>
      <c r="AV142" s="513"/>
      <c r="AW142" s="514"/>
      <c r="AX142" s="513"/>
      <c r="AY142" s="513"/>
    </row>
    <row r="143" spans="1:51" s="115" customFormat="1" ht="12.75" hidden="1" customHeight="1">
      <c r="A143" s="115" t="s">
        <v>43</v>
      </c>
      <c r="B143" s="115">
        <f>IF(B109=1,B129,0)</f>
        <v>40</v>
      </c>
      <c r="D143" s="168">
        <f>IF(D109=1,B129,0)</f>
        <v>0</v>
      </c>
      <c r="E143" s="115">
        <f>IF(E109=1,E129,0)</f>
        <v>0</v>
      </c>
      <c r="G143" s="168">
        <f>IF(G109=1,E129,0)</f>
        <v>0</v>
      </c>
      <c r="H143" s="115">
        <f>IF(H109=1,H129,0)</f>
        <v>41</v>
      </c>
      <c r="J143" s="168">
        <f>IF(J109=1,H129,0)</f>
        <v>0</v>
      </c>
      <c r="K143" s="115">
        <f>IF(K109=1,K129,0)</f>
        <v>0</v>
      </c>
      <c r="M143" s="168">
        <f>IF(M109=1,K129,0)</f>
        <v>0</v>
      </c>
      <c r="N143" s="115">
        <f>IF(N109=1,N129,0)</f>
        <v>0</v>
      </c>
      <c r="P143" s="168">
        <f>IF(P109=1,N129,0)</f>
        <v>0</v>
      </c>
      <c r="Q143" s="115">
        <f>IF(Q109=1,Q129,0)</f>
        <v>0</v>
      </c>
      <c r="S143" s="168">
        <f>IF(S109=1,Q129,0)</f>
        <v>0</v>
      </c>
      <c r="T143" s="115">
        <f>IF(T109=1,T129,0)</f>
        <v>0</v>
      </c>
      <c r="V143" s="168">
        <f>IF(V109=1,T129,0)</f>
        <v>0</v>
      </c>
      <c r="W143" s="115">
        <f>IF(W109=1,W129,0)</f>
        <v>0</v>
      </c>
      <c r="Y143" s="168">
        <f>IF(Y109=1,W129,0)</f>
        <v>0</v>
      </c>
      <c r="Z143" s="115">
        <f>IF(Z109=1,Z129,0)</f>
        <v>0</v>
      </c>
      <c r="AB143" s="168">
        <f>IF(AB109=1,Z129,0)</f>
        <v>0</v>
      </c>
      <c r="AC143" s="115">
        <f>IF(AC109=1,AC129,0)</f>
        <v>0</v>
      </c>
      <c r="AE143" s="168">
        <f>IF(AE109=1,AC129,0)</f>
        <v>0</v>
      </c>
      <c r="AF143" s="115">
        <f>SUM(B143:AE143)</f>
        <v>81</v>
      </c>
      <c r="AT143" s="513"/>
      <c r="AU143" s="513"/>
      <c r="AV143" s="513"/>
      <c r="AW143" s="514"/>
      <c r="AX143" s="513"/>
      <c r="AY143" s="513"/>
    </row>
    <row r="144" spans="1:51" s="115" customFormat="1" ht="12.75" hidden="1" customHeight="1">
      <c r="A144" s="115" t="s">
        <v>44</v>
      </c>
      <c r="B144" s="115">
        <f>IF(B109=2,B129,0)</f>
        <v>0</v>
      </c>
      <c r="D144" s="168">
        <f>IF(D109=2,B129,0)</f>
        <v>40</v>
      </c>
      <c r="E144" s="115">
        <f>IF(E109=2,E129,0)</f>
        <v>40</v>
      </c>
      <c r="G144" s="168">
        <f>IF(G109=2,E129,0)</f>
        <v>0</v>
      </c>
      <c r="H144" s="115">
        <f>IF(H109=2,H129,0)</f>
        <v>0</v>
      </c>
      <c r="J144" s="168">
        <f>IF(J109=2,H129,0)</f>
        <v>0</v>
      </c>
      <c r="K144" s="115">
        <f>IF(K109=2,K129,0)</f>
        <v>0</v>
      </c>
      <c r="M144" s="168">
        <f>IF(M109=2,K129,0)</f>
        <v>0</v>
      </c>
      <c r="N144" s="115">
        <f>IF(N109=2,N129,0)</f>
        <v>0</v>
      </c>
      <c r="P144" s="168">
        <f>IF(P109=2,N129,0)</f>
        <v>0</v>
      </c>
      <c r="Q144" s="115">
        <f>IF(Q109=2,Q129,0)</f>
        <v>0</v>
      </c>
      <c r="S144" s="168">
        <f>IF(S109=2,Q129,0)</f>
        <v>0</v>
      </c>
      <c r="T144" s="115">
        <f>IF(T109=2,T129,0)</f>
        <v>0</v>
      </c>
      <c r="V144" s="168">
        <f>IF(V109=2,T129,0)</f>
        <v>0</v>
      </c>
      <c r="W144" s="115">
        <f>IF(W109=2,W129,0)</f>
        <v>0</v>
      </c>
      <c r="Y144" s="168">
        <f>IF(Y109=2,W129,0)</f>
        <v>0</v>
      </c>
      <c r="Z144" s="115">
        <f>IF(Z109=2,Z129,0)</f>
        <v>0</v>
      </c>
      <c r="AB144" s="168">
        <f>IF(AB109=2,Z129,0)</f>
        <v>0</v>
      </c>
      <c r="AC144" s="115">
        <f>IF(AC109=2,AC129,0)</f>
        <v>0</v>
      </c>
      <c r="AE144" s="168">
        <f>IF(AE109=2,AC129,0)</f>
        <v>0</v>
      </c>
      <c r="AF144" s="115">
        <f>SUM(B144:AE144)</f>
        <v>80</v>
      </c>
      <c r="AT144" s="513"/>
      <c r="AU144" s="513"/>
      <c r="AV144" s="513"/>
      <c r="AW144" s="514"/>
      <c r="AX144" s="513"/>
      <c r="AY144" s="513"/>
    </row>
    <row r="145" spans="1:51" s="115" customFormat="1" ht="12.75" hidden="1" customHeight="1">
      <c r="A145" s="115" t="s">
        <v>45</v>
      </c>
      <c r="B145" s="115">
        <f>IF(B109=3,B129,0)</f>
        <v>0</v>
      </c>
      <c r="D145" s="168">
        <f>IF(D109=3,B129,0)</f>
        <v>0</v>
      </c>
      <c r="E145" s="115">
        <f>IF(E109=3,E129,0)</f>
        <v>0</v>
      </c>
      <c r="G145" s="168">
        <f>IF(G109=3,E129,0)</f>
        <v>40</v>
      </c>
      <c r="H145" s="115">
        <f>IF(H109=3,H129,0)</f>
        <v>0</v>
      </c>
      <c r="J145" s="168">
        <f>IF(J109=3,H129,0)</f>
        <v>41</v>
      </c>
      <c r="K145" s="115">
        <f>IF(K109=3,K129,0)</f>
        <v>0</v>
      </c>
      <c r="M145" s="168">
        <f>IF(M109=3,K129,0)</f>
        <v>0</v>
      </c>
      <c r="N145" s="115">
        <f>IF(N109=3,N129,0)</f>
        <v>0</v>
      </c>
      <c r="P145" s="168">
        <f>IF(P109=3,N129,0)</f>
        <v>0</v>
      </c>
      <c r="Q145" s="115">
        <f>IF(Q109=3,Q129,0)</f>
        <v>0</v>
      </c>
      <c r="S145" s="168">
        <f>IF(S109=3,Q129,0)</f>
        <v>0</v>
      </c>
      <c r="T145" s="115">
        <f>IF(T109=3,T129,0)</f>
        <v>0</v>
      </c>
      <c r="V145" s="168">
        <f>IF(V109=3,T129,0)</f>
        <v>0</v>
      </c>
      <c r="W145" s="115">
        <f>IF(W109=3,W129,0)</f>
        <v>0</v>
      </c>
      <c r="Y145" s="168">
        <f>IF(Y109=3,W129,0)</f>
        <v>0</v>
      </c>
      <c r="Z145" s="115">
        <f>IF(Z109=3,Z129,0)</f>
        <v>0</v>
      </c>
      <c r="AB145" s="168">
        <f>IF(AB109=3,Z129,0)</f>
        <v>0</v>
      </c>
      <c r="AC145" s="115">
        <f>IF(AC109=3,AC129,0)</f>
        <v>0</v>
      </c>
      <c r="AE145" s="168">
        <f>IF(AE109=3,AC129,0)</f>
        <v>0</v>
      </c>
      <c r="AF145" s="115">
        <f>SUM(B145:AE145)</f>
        <v>81</v>
      </c>
      <c r="AT145" s="513"/>
      <c r="AU145" s="513"/>
      <c r="AV145" s="513"/>
      <c r="AW145" s="514"/>
      <c r="AX145" s="513"/>
      <c r="AY145" s="513"/>
    </row>
    <row r="146" spans="1:51" s="115" customFormat="1" ht="12.75" hidden="1" customHeight="1">
      <c r="A146" s="115" t="s">
        <v>46</v>
      </c>
      <c r="B146" s="115">
        <f>IF(B109=4,B129,0)</f>
        <v>0</v>
      </c>
      <c r="D146" s="168">
        <f>IF(D109=4,B129,0)</f>
        <v>0</v>
      </c>
      <c r="E146" s="115">
        <f>IF(E109=4,E129,0)</f>
        <v>0</v>
      </c>
      <c r="G146" s="168">
        <f>IF(G109=4,E129,0)</f>
        <v>0</v>
      </c>
      <c r="H146" s="115">
        <f>IF(H109=4,H129,0)</f>
        <v>0</v>
      </c>
      <c r="J146" s="168">
        <f>IF(J109=4,H129,0)</f>
        <v>0</v>
      </c>
      <c r="K146" s="115">
        <f>IF(K109=4,K129,0)</f>
        <v>0</v>
      </c>
      <c r="M146" s="168">
        <f>IF(M109=4,K129,0)</f>
        <v>0</v>
      </c>
      <c r="N146" s="115">
        <f>IF(N109=4,N129,0)</f>
        <v>0</v>
      </c>
      <c r="P146" s="168">
        <f>IF(P109=4,N129,0)</f>
        <v>0</v>
      </c>
      <c r="Q146" s="115">
        <f>IF(Q109=4,Q129,0)</f>
        <v>0</v>
      </c>
      <c r="S146" s="168">
        <f>IF(S109=4,Q129,0)</f>
        <v>0</v>
      </c>
      <c r="T146" s="115">
        <f>IF(T109=4,T129,0)</f>
        <v>0</v>
      </c>
      <c r="V146" s="168">
        <f>IF(V109=4,T129,0)</f>
        <v>0</v>
      </c>
      <c r="W146" s="115">
        <f>IF(W109=4,W129,0)</f>
        <v>0</v>
      </c>
      <c r="Y146" s="168">
        <f>IF(Y109=4,W129,0)</f>
        <v>0</v>
      </c>
      <c r="Z146" s="115">
        <f>IF(Z109=4,Z129,0)</f>
        <v>0</v>
      </c>
      <c r="AB146" s="168">
        <f>IF(AB109=4,Z129,0)</f>
        <v>0</v>
      </c>
      <c r="AC146" s="115">
        <f>IF(AC109=4,AC129,0)</f>
        <v>0</v>
      </c>
      <c r="AE146" s="168">
        <f>IF(AE109=4,AC129,0)</f>
        <v>0</v>
      </c>
      <c r="AF146" s="115">
        <f>SUM(B146:AE146)</f>
        <v>0</v>
      </c>
      <c r="AT146" s="513"/>
      <c r="AU146" s="513"/>
      <c r="AV146" s="513"/>
      <c r="AW146" s="514"/>
      <c r="AX146" s="513"/>
      <c r="AY146" s="513"/>
    </row>
    <row r="147" spans="1:51" s="115" customFormat="1" ht="12.75" hidden="1" customHeight="1">
      <c r="A147" s="115" t="s">
        <v>47</v>
      </c>
      <c r="B147" s="115">
        <f>IF(B109=5,B129,0)</f>
        <v>0</v>
      </c>
      <c r="D147" s="168">
        <f>IF(D109=5,B129,0)</f>
        <v>0</v>
      </c>
      <c r="E147" s="115">
        <f>IF(E109=5,E129,0)</f>
        <v>0</v>
      </c>
      <c r="G147" s="168">
        <f>IF(G109=5,E129,0)</f>
        <v>0</v>
      </c>
      <c r="H147" s="115">
        <f>IF(H109=5,H129,0)</f>
        <v>0</v>
      </c>
      <c r="J147" s="168">
        <f>IF(J109=5,H129,0)</f>
        <v>0</v>
      </c>
      <c r="K147" s="115">
        <f>IF(K109=5,K129,0)</f>
        <v>0</v>
      </c>
      <c r="M147" s="168">
        <f>IF(M109=5,K129,0)</f>
        <v>0</v>
      </c>
      <c r="N147" s="115">
        <f>IF(N109=5,N129,0)</f>
        <v>0</v>
      </c>
      <c r="P147" s="168">
        <f>IF(P109=5,N129,0)</f>
        <v>0</v>
      </c>
      <c r="Q147" s="115">
        <f>IF(Q109=5,Q129,0)</f>
        <v>0</v>
      </c>
      <c r="S147" s="168">
        <f>IF(S109=5,Q129,0)</f>
        <v>0</v>
      </c>
      <c r="T147" s="115">
        <f>IF(T109=5,T129,0)</f>
        <v>0</v>
      </c>
      <c r="V147" s="168">
        <f>IF(V109=5,T129,0)</f>
        <v>0</v>
      </c>
      <c r="W147" s="115">
        <f>IF(W109=5,W129,0)</f>
        <v>0</v>
      </c>
      <c r="Y147" s="168">
        <f>IF(Y109=5,W129,0)</f>
        <v>0</v>
      </c>
      <c r="Z147" s="115">
        <f>IF(Z109=5,Z129,0)</f>
        <v>0</v>
      </c>
      <c r="AB147" s="168">
        <f>IF(AB109=5,Z129,0)</f>
        <v>0</v>
      </c>
      <c r="AC147" s="115">
        <f>IF(AC109=5,AC129,0)</f>
        <v>0</v>
      </c>
      <c r="AE147" s="168">
        <f>IF(AE109=5,AC129,0)</f>
        <v>0</v>
      </c>
      <c r="AF147" s="115">
        <f>SUM(B147:AE147)</f>
        <v>0</v>
      </c>
      <c r="AT147" s="513"/>
      <c r="AU147" s="513"/>
      <c r="AV147" s="513"/>
      <c r="AW147" s="514"/>
      <c r="AX147" s="513"/>
      <c r="AY147" s="513"/>
    </row>
    <row r="148" spans="1:51" s="115" customFormat="1" ht="38.25" hidden="1" customHeight="1">
      <c r="A148" s="115" t="s">
        <v>48</v>
      </c>
      <c r="D148" s="168"/>
      <c r="G148" s="168"/>
      <c r="J148" s="168"/>
      <c r="M148" s="168"/>
      <c r="P148" s="168"/>
      <c r="S148" s="168"/>
      <c r="V148" s="168"/>
      <c r="Y148" s="168"/>
      <c r="AB148" s="168"/>
      <c r="AE148" s="168"/>
      <c r="AF148" s="167" t="s">
        <v>219</v>
      </c>
      <c r="AG148" s="115" t="s">
        <v>220</v>
      </c>
      <c r="AT148" s="513"/>
      <c r="AU148" s="513"/>
      <c r="AV148" s="513"/>
      <c r="AW148" s="514"/>
      <c r="AX148" s="513"/>
      <c r="AY148" s="513"/>
    </row>
    <row r="149" spans="1:51" s="115" customFormat="1" ht="12.75" hidden="1" customHeight="1">
      <c r="A149" s="115" t="s">
        <v>38</v>
      </c>
      <c r="B149" s="115">
        <f>IF(B109=1,SUMIF(B116:B120,"&gt;0"),0)</f>
        <v>2</v>
      </c>
      <c r="D149" s="168">
        <f>IF(D109=1,SUMIF(D116:D120,"&gt;0"),0)</f>
        <v>0</v>
      </c>
      <c r="E149" s="115">
        <f>IF(E109=1,SUMIF(E116:E120,"&gt;0"),0)</f>
        <v>0</v>
      </c>
      <c r="G149" s="168">
        <f>IF(G109=1,SUMIF(G116:G120,"&gt;0"),0)</f>
        <v>0</v>
      </c>
      <c r="H149" s="115">
        <f>IF(H109=1,SUMIF(H116:H120,"&gt;0"),0)</f>
        <v>2</v>
      </c>
      <c r="J149" s="168">
        <f>IF(J109=1,SUMIF(J116:J120,"&gt;0"),0)</f>
        <v>0</v>
      </c>
      <c r="K149" s="115">
        <f>IF(K109=1,SUMIF(K116:K120,"&gt;0"),0)</f>
        <v>0</v>
      </c>
      <c r="M149" s="168">
        <f>IF(M109=1,SUMIF(M116:M120,"&gt;0"),0)</f>
        <v>0</v>
      </c>
      <c r="N149" s="115">
        <f>IF(N109=1,SUMIF(N116:N120,"&gt;0"),0)</f>
        <v>0</v>
      </c>
      <c r="P149" s="168">
        <f>IF(P109=1,SUMIF(P116:P120,"&gt;0"),0)</f>
        <v>0</v>
      </c>
      <c r="Q149" s="115">
        <f>IF(Q109=1,SUMIF(Q116:Q120,"&gt;0"),0)</f>
        <v>0</v>
      </c>
      <c r="S149" s="168">
        <f>IF(S109=1,SUMIF(S116:S120,"&gt;0"),0)</f>
        <v>0</v>
      </c>
      <c r="T149" s="115">
        <f>IF(T109=1,SUMIF(T116:T120,"&gt;0"),0)</f>
        <v>0</v>
      </c>
      <c r="V149" s="168">
        <f>IF(V109=1,SUMIF(V116:V120,"&gt;0"),0)</f>
        <v>0</v>
      </c>
      <c r="W149" s="115">
        <f>IF(W109=1,SUMIF(W116:W120,"&gt;0"),0)</f>
        <v>0</v>
      </c>
      <c r="Y149" s="168">
        <f>IF(Y109=1,SUMIF(Y116:Y120,"&gt;0"),0)</f>
        <v>0</v>
      </c>
      <c r="Z149" s="115">
        <f>IF(Z109=1,SUMIF(Z116:Z120,"&gt;0"),0)</f>
        <v>0</v>
      </c>
      <c r="AB149" s="168">
        <f>IF(AB109=1,SUMIF(AB116:AB120,"&gt;0"),0)</f>
        <v>0</v>
      </c>
      <c r="AC149" s="115">
        <f>IF(AC109=1,SUMIF(AC116:AC120,"&gt;0"),0)</f>
        <v>0</v>
      </c>
      <c r="AE149" s="168">
        <f>IF(AE109=1,SUMIF(AE116:AE120,"&gt;0"),0)</f>
        <v>0</v>
      </c>
      <c r="AF149" s="115">
        <f>SUM(B149:AE149)</f>
        <v>4</v>
      </c>
      <c r="AG149" s="115">
        <f>AF157-AF149</f>
        <v>0</v>
      </c>
      <c r="AT149" s="513"/>
      <c r="AU149" s="513"/>
      <c r="AV149" s="513"/>
      <c r="AW149" s="514"/>
      <c r="AX149" s="513"/>
      <c r="AY149" s="513"/>
    </row>
    <row r="150" spans="1:51" s="115" customFormat="1" ht="12.75" hidden="1" customHeight="1">
      <c r="A150" s="115" t="s">
        <v>39</v>
      </c>
      <c r="B150" s="115">
        <f>IF(B109=2,SUMIF(B116:B120,"&gt;0"),0)</f>
        <v>0</v>
      </c>
      <c r="D150" s="168">
        <f>IF(D109=2,SUMIF(D116:D120,"&gt;0"),0)</f>
        <v>0</v>
      </c>
      <c r="E150" s="115">
        <f>IF(E109=2,SUMIF(E116:E120,"&gt;0"),0)</f>
        <v>1</v>
      </c>
      <c r="G150" s="168">
        <f>IF(G109=2,SUMIF(G116:G120,"&gt;0"),0)</f>
        <v>0</v>
      </c>
      <c r="H150" s="115">
        <f>IF(H109=2,SUMIF(H116:H120,"&gt;0"),0)</f>
        <v>0</v>
      </c>
      <c r="J150" s="168">
        <f>IF(J109=2,SUMIF(J116:J120,"&gt;0"),0)</f>
        <v>0</v>
      </c>
      <c r="K150" s="115">
        <f>IF(K109=2,SUMIF(K116:K120,"&gt;0"),0)</f>
        <v>0</v>
      </c>
      <c r="M150" s="168">
        <f>IF(M109=2,SUMIF(M116:M120,"&gt;0"),0)</f>
        <v>0</v>
      </c>
      <c r="N150" s="115">
        <f>IF(N109=2,SUMIF(N116:N120,"&gt;0"),0)</f>
        <v>0</v>
      </c>
      <c r="P150" s="168">
        <f>IF(P109=2,SUMIF(P116:P120,"&gt;0"),0)</f>
        <v>0</v>
      </c>
      <c r="Q150" s="115">
        <f>IF(Q109=2,SUMIF(Q116:Q120,"&gt;0"),0)</f>
        <v>0</v>
      </c>
      <c r="S150" s="168">
        <f>IF(S109=2,SUMIF(S116:S120,"&gt;0"),0)</f>
        <v>0</v>
      </c>
      <c r="T150" s="115">
        <f>IF(T109=2,SUMIF(T116:T120,"&gt;0"),0)</f>
        <v>0</v>
      </c>
      <c r="V150" s="168">
        <f>IF(V109=2,SUMIF(V116:V120,"&gt;0"),0)</f>
        <v>0</v>
      </c>
      <c r="W150" s="115">
        <f>IF(W109=2,SUMIF(W116:W120,"&gt;0"),0)</f>
        <v>0</v>
      </c>
      <c r="Y150" s="168">
        <f>IF(Y109=2,SUMIF(Y116:Y120,"&gt;0"),0)</f>
        <v>0</v>
      </c>
      <c r="Z150" s="115">
        <f>IF(Z109=2,SUMIF(Z116:Z120,"&gt;0"),0)</f>
        <v>0</v>
      </c>
      <c r="AB150" s="168">
        <f>IF(AB109=2,SUMIF(AB116:AB120,"&gt;0"),0)</f>
        <v>0</v>
      </c>
      <c r="AC150" s="115">
        <f>IF(AC109=2,SUMIF(AC116:AC120,"&gt;0"),0)</f>
        <v>0</v>
      </c>
      <c r="AE150" s="168">
        <f>IF(AE109=2,SUMIF(AE116:AE120,"&gt;0"),0)</f>
        <v>0</v>
      </c>
      <c r="AF150" s="115">
        <f>SUM(B150:AE150)</f>
        <v>1</v>
      </c>
      <c r="AG150" s="115">
        <f>AF158-AF150</f>
        <v>3</v>
      </c>
      <c r="AT150" s="513"/>
      <c r="AU150" s="513"/>
      <c r="AV150" s="513"/>
      <c r="AW150" s="514"/>
      <c r="AX150" s="513"/>
      <c r="AY150" s="513"/>
    </row>
    <row r="151" spans="1:51" s="115" customFormat="1" ht="12.75" hidden="1" customHeight="1">
      <c r="A151" s="115" t="s">
        <v>40</v>
      </c>
      <c r="B151" s="115">
        <f>IF(B109=3,SUMIF(B116:B120,"&gt;0"),0)</f>
        <v>0</v>
      </c>
      <c r="D151" s="168">
        <f>IF(D109=3,SUMIF(D116:D120,"&gt;0"),0)</f>
        <v>0</v>
      </c>
      <c r="E151" s="115">
        <f>IF(E109=3,SUMIF(E116:E120,"&gt;0"),0)</f>
        <v>0</v>
      </c>
      <c r="G151" s="168">
        <f>IF(G109=3,SUMIF(G116:G120,"&gt;0"),0)</f>
        <v>1</v>
      </c>
      <c r="H151" s="115">
        <f>IF(H109=3,SUMIF(H116:H120,"&gt;0"),0)</f>
        <v>0</v>
      </c>
      <c r="J151" s="168">
        <f>IF(J109=3,SUMIF(J116:J120,"&gt;0"),0)</f>
        <v>0</v>
      </c>
      <c r="K151" s="115">
        <f>IF(K109=3,SUMIF(K116:K120,"&gt;0"),0)</f>
        <v>0</v>
      </c>
      <c r="M151" s="168">
        <f>IF(M109=3,SUMIF(M116:M120,"&gt;0"),0)</f>
        <v>0</v>
      </c>
      <c r="N151" s="115">
        <f>IF(N109=3,SUMIF(N116:N120,"&gt;0"),0)</f>
        <v>0</v>
      </c>
      <c r="P151" s="168">
        <f>IF(P109=3,SUMIF(P116:P120,"&gt;0"),0)</f>
        <v>0</v>
      </c>
      <c r="Q151" s="115">
        <f>IF(Q109=3,SUMIF(Q116:Q120,"&gt;0"),0)</f>
        <v>0</v>
      </c>
      <c r="S151" s="168">
        <f>IF(S109=3,SUMIF(S116:S120,"&gt;0"),0)</f>
        <v>0</v>
      </c>
      <c r="T151" s="115">
        <f>IF(T109=3,SUMIF(T116:T120,"&gt;0"),0)</f>
        <v>0</v>
      </c>
      <c r="V151" s="168">
        <f>IF(V109=3,SUMIF(V116:V120,"&gt;0"),0)</f>
        <v>0</v>
      </c>
      <c r="W151" s="115">
        <f>IF(W109=3,SUMIF(W116:W120,"&gt;0"),0)</f>
        <v>0</v>
      </c>
      <c r="Y151" s="168">
        <f>IF(Y109=3,SUMIF(Y116:Y120,"&gt;0"),0)</f>
        <v>0</v>
      </c>
      <c r="Z151" s="115">
        <f>IF(Z109=3,SUMIF(Z116:Z120,"&gt;0"),0)</f>
        <v>0</v>
      </c>
      <c r="AB151" s="168">
        <f>IF(AB109=3,SUMIF(AB116:AB120,"&gt;0"),0)</f>
        <v>0</v>
      </c>
      <c r="AC151" s="115">
        <f>IF(AC109=3,SUMIF(AC116:AC120,"&gt;0"),0)</f>
        <v>0</v>
      </c>
      <c r="AE151" s="168">
        <f>IF(AE109=3,SUMIF(AE116:AE120,"&gt;0"),0)</f>
        <v>0</v>
      </c>
      <c r="AF151" s="115">
        <f>SUM(B151:AE151)</f>
        <v>1</v>
      </c>
      <c r="AG151" s="115">
        <f>AF159-AF151</f>
        <v>3</v>
      </c>
      <c r="AT151" s="513"/>
      <c r="AU151" s="513"/>
      <c r="AV151" s="513"/>
      <c r="AW151" s="514"/>
      <c r="AX151" s="513"/>
      <c r="AY151" s="513"/>
    </row>
    <row r="152" spans="1:51" s="115" customFormat="1" ht="12.75" hidden="1" customHeight="1">
      <c r="A152" s="115" t="s">
        <v>41</v>
      </c>
      <c r="B152" s="115">
        <f>IF(B109=4,SUMIF(B116:B120,"&gt;0"),0)</f>
        <v>0</v>
      </c>
      <c r="D152" s="168">
        <f>IF(D109=4,SUMIF(D116:D120,"&gt;0"),0)</f>
        <v>0</v>
      </c>
      <c r="E152" s="115">
        <f>IF(E109=4,SUMIF(E116:E120,"&gt;0"),0)</f>
        <v>0</v>
      </c>
      <c r="G152" s="168">
        <f>IF(G109=4,SUMIF(G116:G120,"&gt;0"),0)</f>
        <v>0</v>
      </c>
      <c r="H152" s="115">
        <f>IF(H109=4,SUMIF(H116:H120,"&gt;0"),0)</f>
        <v>0</v>
      </c>
      <c r="J152" s="168">
        <f>IF(J109=4,SUMIF(J116:J120,"&gt;0"),0)</f>
        <v>0</v>
      </c>
      <c r="K152" s="115">
        <f>IF(K109=4,SUMIF(K116:K120,"&gt;0"),0)</f>
        <v>0</v>
      </c>
      <c r="M152" s="168">
        <f>IF(M109=4,SUMIF(M116:M120,"&gt;0"),0)</f>
        <v>0</v>
      </c>
      <c r="N152" s="115">
        <f>IF(N109=4,SUMIF(N116:N120,"&gt;0"),0)</f>
        <v>0</v>
      </c>
      <c r="P152" s="168">
        <f>IF(P109=4,SUMIF(P116:P120,"&gt;0"),0)</f>
        <v>0</v>
      </c>
      <c r="Q152" s="115">
        <f>IF(Q109=4,SUMIF(Q116:Q120,"&gt;0"),0)</f>
        <v>0</v>
      </c>
      <c r="S152" s="168">
        <f>IF(S109=4,SUMIF(S116:S120,"&gt;0"),0)</f>
        <v>0</v>
      </c>
      <c r="T152" s="115">
        <f>IF(T109=4,SUMIF(T116:T120,"&gt;0"),0)</f>
        <v>0</v>
      </c>
      <c r="V152" s="168">
        <f>IF(V109=4,SUMIF(V116:V120,"&gt;0"),0)</f>
        <v>0</v>
      </c>
      <c r="W152" s="115">
        <f>IF(W109=4,SUMIF(W116:W120,"&gt;0"),0)</f>
        <v>0</v>
      </c>
      <c r="Y152" s="168">
        <f>IF(Y109=4,SUMIF(Y116:Y120,"&gt;0"),0)</f>
        <v>0</v>
      </c>
      <c r="Z152" s="115">
        <f>IF(Z109=4,SUMIF(Z116:Z120,"&gt;0"),0)</f>
        <v>0</v>
      </c>
      <c r="AB152" s="168">
        <f>IF(AB109=4,SUMIF(AB116:AB120,"&gt;0"),0)</f>
        <v>0</v>
      </c>
      <c r="AC152" s="115">
        <f>IF(AC109=4,SUMIF(AC116:AC120,"&gt;0"),0)</f>
        <v>0</v>
      </c>
      <c r="AE152" s="168">
        <f>IF(AE109=4,SUMIF(AE116:AE120,"&gt;0"),0)</f>
        <v>0</v>
      </c>
      <c r="AF152" s="115">
        <f>SUM(B152:AE152)</f>
        <v>0</v>
      </c>
      <c r="AG152" s="115">
        <f>AF160-AF152</f>
        <v>0</v>
      </c>
      <c r="AT152" s="513"/>
      <c r="AU152" s="513"/>
      <c r="AV152" s="513"/>
      <c r="AW152" s="514"/>
      <c r="AX152" s="513"/>
      <c r="AY152" s="513"/>
    </row>
    <row r="153" spans="1:51" s="115" customFormat="1" ht="12.75" hidden="1" customHeight="1">
      <c r="A153" s="115" t="s">
        <v>42</v>
      </c>
      <c r="B153" s="115">
        <f>IF(B109=5,SUMIF(B116:B120,"&gt;0"),0)</f>
        <v>0</v>
      </c>
      <c r="D153" s="168">
        <f>IF(D109=5,SUMIF(D116:D120,"&gt;0"),0)</f>
        <v>0</v>
      </c>
      <c r="E153" s="115">
        <f>IF(E109=5,SUMIF(E116:E120,"&gt;0"),0)</f>
        <v>0</v>
      </c>
      <c r="G153" s="168">
        <f>IF(G109=5,SUMIF(G116:G120,"&gt;0"),0)</f>
        <v>0</v>
      </c>
      <c r="H153" s="115">
        <f>IF(H109=5,SUMIF(H116:H120,"&gt;0"),0)</f>
        <v>0</v>
      </c>
      <c r="J153" s="168">
        <f>IF(J109=5,SUMIF(J116:J120,"&gt;0"),0)</f>
        <v>0</v>
      </c>
      <c r="K153" s="115">
        <f>IF(K109=5,SUMIF(K116:K120,"&gt;0"),0)</f>
        <v>0</v>
      </c>
      <c r="M153" s="168">
        <f>IF(M109=5,SUMIF(M116:M120,"&gt;0"),0)</f>
        <v>0</v>
      </c>
      <c r="N153" s="115">
        <f>IF(N109=5,SUMIF(N116:N120,"&gt;0"),0)</f>
        <v>0</v>
      </c>
      <c r="P153" s="168">
        <f>IF(P109=5,SUMIF(P116:P120,"&gt;0"),0)</f>
        <v>0</v>
      </c>
      <c r="Q153" s="115">
        <f>IF(Q109=5,SUMIF(Q116:Q120,"&gt;0"),0)</f>
        <v>0</v>
      </c>
      <c r="S153" s="168">
        <f>IF(S109=5,SUMIF(S116:S120,"&gt;0"),0)</f>
        <v>0</v>
      </c>
      <c r="T153" s="115">
        <f>IF(T109=5,SUMIF(T116:T120,"&gt;0"),0)</f>
        <v>0</v>
      </c>
      <c r="V153" s="168">
        <f>IF(V109=5,SUMIF(V116:V120,"&gt;0"),0)</f>
        <v>0</v>
      </c>
      <c r="W153" s="115">
        <f>IF(W109=5,SUMIF(W116:W120,"&gt;0"),0)</f>
        <v>0</v>
      </c>
      <c r="Y153" s="168">
        <f>IF(Y109=5,SUMIF(Y116:Y120,"&gt;0"),0)</f>
        <v>0</v>
      </c>
      <c r="Z153" s="115">
        <f>IF(Z109=5,SUMIF(Z116:Z120,"&gt;0"),0)</f>
        <v>0</v>
      </c>
      <c r="AB153" s="168">
        <f>IF(AB109=5,SUMIF(AB116:AB120,"&gt;0"),0)</f>
        <v>0</v>
      </c>
      <c r="AC153" s="115">
        <f>IF(AC109=5,SUMIF(AC116:AC120,"&gt;0"),0)</f>
        <v>0</v>
      </c>
      <c r="AE153" s="168">
        <f>IF(AE109=5,SUMIF(AE116:AE120,"&gt;0"),0)</f>
        <v>0</v>
      </c>
      <c r="AF153" s="115">
        <f>SUM(B153:AE153)</f>
        <v>0</v>
      </c>
      <c r="AG153" s="115">
        <f>AF161-AF153</f>
        <v>0</v>
      </c>
      <c r="AT153" s="513"/>
      <c r="AU153" s="513"/>
      <c r="AV153" s="513"/>
      <c r="AW153" s="514"/>
      <c r="AX153" s="513"/>
      <c r="AY153" s="513"/>
    </row>
    <row r="154" spans="1:51" s="115" customFormat="1" ht="12.75" hidden="1" customHeight="1">
      <c r="D154" s="168"/>
      <c r="G154" s="168"/>
      <c r="J154" s="168"/>
      <c r="M154" s="168"/>
      <c r="P154" s="168"/>
      <c r="S154" s="168"/>
      <c r="V154" s="168"/>
      <c r="Y154" s="168"/>
      <c r="AB154" s="168"/>
      <c r="AE154" s="168"/>
      <c r="AT154" s="513"/>
      <c r="AU154" s="513"/>
      <c r="AV154" s="513"/>
      <c r="AW154" s="514"/>
      <c r="AX154" s="513"/>
      <c r="AY154" s="513"/>
    </row>
    <row r="155" spans="1:51" s="115" customFormat="1" ht="12.75" hidden="1" customHeight="1">
      <c r="D155" s="168"/>
      <c r="G155" s="168"/>
      <c r="J155" s="168"/>
      <c r="M155" s="168"/>
      <c r="P155" s="168"/>
      <c r="S155" s="168"/>
      <c r="V155" s="168"/>
      <c r="Y155" s="168"/>
      <c r="AB155" s="168"/>
      <c r="AE155" s="168"/>
      <c r="AT155" s="513"/>
      <c r="AU155" s="513"/>
      <c r="AV155" s="513"/>
      <c r="AW155" s="514"/>
      <c r="AX155" s="513"/>
      <c r="AY155" s="513"/>
    </row>
    <row r="156" spans="1:51" s="115" customFormat="1" ht="51" hidden="1" customHeight="1">
      <c r="A156" s="167" t="s">
        <v>221</v>
      </c>
      <c r="C156" s="115">
        <f>SUMIF(B149:D153,"&gt;0")</f>
        <v>2</v>
      </c>
      <c r="D156" s="168"/>
      <c r="F156" s="115">
        <f>SUMIF(E149:G153,"&gt;0")</f>
        <v>2</v>
      </c>
      <c r="G156" s="168"/>
      <c r="I156" s="115">
        <f>SUMIF(H149:J153,"&gt;0")</f>
        <v>2</v>
      </c>
      <c r="J156" s="168"/>
      <c r="L156" s="115">
        <f>SUMIF(K149:M153,"&gt;0")</f>
        <v>0</v>
      </c>
      <c r="M156" s="168"/>
      <c r="O156" s="115">
        <f>SUMIF(N149:P153,"&gt;0")</f>
        <v>0</v>
      </c>
      <c r="P156" s="168"/>
      <c r="R156" s="115">
        <f>SUMIF(Q149:S153,"&gt;0")</f>
        <v>0</v>
      </c>
      <c r="S156" s="168"/>
      <c r="U156" s="115">
        <f>SUMIF(T149:V153,"&gt;0")</f>
        <v>0</v>
      </c>
      <c r="V156" s="168"/>
      <c r="X156" s="115">
        <f>SUMIF(W149:Y153,"&gt;0")</f>
        <v>0</v>
      </c>
      <c r="Y156" s="168"/>
      <c r="AA156" s="115">
        <f>SUMIF(Z149:AB153,"&gt;0")</f>
        <v>0</v>
      </c>
      <c r="AB156" s="168"/>
      <c r="AD156" s="115">
        <f>SUMIF(AC149:AE153,"&gt;0")</f>
        <v>0</v>
      </c>
      <c r="AE156" s="168"/>
      <c r="AF156" s="167" t="s">
        <v>222</v>
      </c>
      <c r="AT156" s="513"/>
      <c r="AU156" s="513"/>
      <c r="AV156" s="513"/>
      <c r="AW156" s="514"/>
      <c r="AX156" s="513"/>
      <c r="AY156" s="513"/>
    </row>
    <row r="157" spans="1:51" s="115" customFormat="1" ht="12.75" hidden="1" customHeight="1">
      <c r="A157" s="115" t="s">
        <v>43</v>
      </c>
      <c r="B157" s="115">
        <f>IF(B109=1,C156,0)</f>
        <v>2</v>
      </c>
      <c r="D157" s="168">
        <f>IF(D109=1,C156,0)</f>
        <v>0</v>
      </c>
      <c r="E157" s="115">
        <f>IF(E109=1,F156,0)</f>
        <v>0</v>
      </c>
      <c r="G157" s="168">
        <f>IF(G109=1,F156,0)</f>
        <v>0</v>
      </c>
      <c r="H157" s="115">
        <f>IF(H109=1,I156,0)</f>
        <v>2</v>
      </c>
      <c r="J157" s="168">
        <f>IF(J109=1,I156,0)</f>
        <v>0</v>
      </c>
      <c r="K157" s="115">
        <f>IF(K109=1,L156,0)</f>
        <v>0</v>
      </c>
      <c r="M157" s="168">
        <f>IF(M109=1,L156,0)</f>
        <v>0</v>
      </c>
      <c r="N157" s="115">
        <f>IF(N109=1,O156,0)</f>
        <v>0</v>
      </c>
      <c r="P157" s="168">
        <f>IF(P109=1,O156,0)</f>
        <v>0</v>
      </c>
      <c r="Q157" s="115">
        <f>IF(Q109=1,R156,0)</f>
        <v>0</v>
      </c>
      <c r="S157" s="168">
        <f>IF(S109=1,R156,0)</f>
        <v>0</v>
      </c>
      <c r="T157" s="115">
        <f>IF(T109=1,U156,0)</f>
        <v>0</v>
      </c>
      <c r="V157" s="168">
        <f>IF(V109=1,U156,0)</f>
        <v>0</v>
      </c>
      <c r="W157" s="115">
        <f>IF(W109=1,X156,0)</f>
        <v>0</v>
      </c>
      <c r="Y157" s="168">
        <f>IF(Y109=1,X156,0)</f>
        <v>0</v>
      </c>
      <c r="Z157" s="115">
        <f>IF(Z109=1,AA156,0)</f>
        <v>0</v>
      </c>
      <c r="AB157" s="168">
        <f>IF(AB109=1,AA156,0)</f>
        <v>0</v>
      </c>
      <c r="AC157" s="115">
        <f>IF(AC109=1,AD156,0)</f>
        <v>0</v>
      </c>
      <c r="AE157" s="168">
        <f>IF(AE109=1,AD156,0)</f>
        <v>0</v>
      </c>
      <c r="AF157" s="115">
        <f>SUM(B157:AE157)</f>
        <v>4</v>
      </c>
      <c r="AT157" s="513"/>
      <c r="AU157" s="513"/>
      <c r="AV157" s="513"/>
      <c r="AW157" s="514"/>
      <c r="AX157" s="513"/>
      <c r="AY157" s="513"/>
    </row>
    <row r="158" spans="1:51" s="115" customFormat="1" ht="12.75" hidden="1" customHeight="1">
      <c r="A158" s="115" t="s">
        <v>44</v>
      </c>
      <c r="B158" s="115">
        <f>IF(B109=2,C156,0)</f>
        <v>0</v>
      </c>
      <c r="D158" s="168">
        <f>IF(D109=2,C156,0)</f>
        <v>2</v>
      </c>
      <c r="E158" s="115">
        <f>IF(E109=2,F156,0)</f>
        <v>2</v>
      </c>
      <c r="G158" s="168">
        <f>IF(G109=2,F156,0)</f>
        <v>0</v>
      </c>
      <c r="H158" s="115">
        <f>IF(H109=2,I156,0)</f>
        <v>0</v>
      </c>
      <c r="J158" s="168">
        <f>IF(J109=2,I156,0)</f>
        <v>0</v>
      </c>
      <c r="K158" s="115">
        <f>IF(K109=2,L156,0)</f>
        <v>0</v>
      </c>
      <c r="M158" s="168">
        <f>IF(M109=2,L156,0)</f>
        <v>0</v>
      </c>
      <c r="N158" s="115">
        <f>IF(N109=2,O156,0)</f>
        <v>0</v>
      </c>
      <c r="P158" s="168">
        <f>IF(P109=2,O156,0)</f>
        <v>0</v>
      </c>
      <c r="Q158" s="115">
        <f>IF(Q109=2,R156,0)</f>
        <v>0</v>
      </c>
      <c r="S158" s="168">
        <f>IF(S109=2,R156,0)</f>
        <v>0</v>
      </c>
      <c r="T158" s="115">
        <f>IF(T109=2,U156,0)</f>
        <v>0</v>
      </c>
      <c r="V158" s="168">
        <f>IF(V109=2,U156,0)</f>
        <v>0</v>
      </c>
      <c r="W158" s="115">
        <f>IF(W109=2,X156,0)</f>
        <v>0</v>
      </c>
      <c r="Y158" s="168">
        <f>IF(Y109=2,X156,0)</f>
        <v>0</v>
      </c>
      <c r="Z158" s="115">
        <f>IF(Z109=2,AA156,0)</f>
        <v>0</v>
      </c>
      <c r="AB158" s="168">
        <f>IF(AB109=2,AA156,0)</f>
        <v>0</v>
      </c>
      <c r="AC158" s="115">
        <f>IF(AC109=2,AD156,0)</f>
        <v>0</v>
      </c>
      <c r="AE158" s="168">
        <f>IF(AE109=2,AD156,0)</f>
        <v>0</v>
      </c>
      <c r="AF158" s="115">
        <f>SUM(B158:AE158)</f>
        <v>4</v>
      </c>
      <c r="AT158" s="513"/>
      <c r="AU158" s="513"/>
      <c r="AV158" s="513"/>
      <c r="AW158" s="514"/>
      <c r="AX158" s="513"/>
      <c r="AY158" s="513"/>
    </row>
    <row r="159" spans="1:51" s="115" customFormat="1" ht="12.75" hidden="1" customHeight="1">
      <c r="A159" s="115" t="s">
        <v>45</v>
      </c>
      <c r="B159" s="115">
        <f>IF(B109=3,C156,0)</f>
        <v>0</v>
      </c>
      <c r="D159" s="168">
        <f>IF(D109=3,C156,0)</f>
        <v>0</v>
      </c>
      <c r="E159" s="115">
        <f>IF(E109=3,F156,0)</f>
        <v>0</v>
      </c>
      <c r="G159" s="168">
        <f>IF(G109=3,F156,0)</f>
        <v>2</v>
      </c>
      <c r="H159" s="115">
        <f>IF(H109=3,I156,0)</f>
        <v>0</v>
      </c>
      <c r="J159" s="168">
        <f>IF(J109=3,I156,0)</f>
        <v>2</v>
      </c>
      <c r="K159" s="115">
        <f>IF(K109=3,L156,0)</f>
        <v>0</v>
      </c>
      <c r="M159" s="168">
        <f>IF(M109=3,L156,0)</f>
        <v>0</v>
      </c>
      <c r="N159" s="115">
        <f>IF(N109=3,O156,0)</f>
        <v>0</v>
      </c>
      <c r="P159" s="168">
        <f>IF(P109=3,O156,0)</f>
        <v>0</v>
      </c>
      <c r="Q159" s="115">
        <f>IF(Q109=3,R156,0)</f>
        <v>0</v>
      </c>
      <c r="S159" s="168">
        <f>IF(S109=3,R156,0)</f>
        <v>0</v>
      </c>
      <c r="T159" s="115">
        <f>IF(T109=3,U156,0)</f>
        <v>0</v>
      </c>
      <c r="V159" s="168">
        <f>IF(V109=3,U156,0)</f>
        <v>0</v>
      </c>
      <c r="W159" s="115">
        <f>IF(W109=3,X156,0)</f>
        <v>0</v>
      </c>
      <c r="Y159" s="168">
        <f>IF(Y109=3,X156,0)</f>
        <v>0</v>
      </c>
      <c r="Z159" s="115">
        <f>IF(Z109=3,AA156,0)</f>
        <v>0</v>
      </c>
      <c r="AB159" s="168">
        <f>IF(AB109=3,AA156,0)</f>
        <v>0</v>
      </c>
      <c r="AC159" s="115">
        <f>IF(AC109=3,AD156,0)</f>
        <v>0</v>
      </c>
      <c r="AE159" s="168">
        <f>IF(AE109=3,AD156,0)</f>
        <v>0</v>
      </c>
      <c r="AF159" s="115">
        <f>SUM(B159:AE159)</f>
        <v>4</v>
      </c>
      <c r="AT159" s="513"/>
      <c r="AU159" s="513"/>
      <c r="AV159" s="513"/>
      <c r="AW159" s="514"/>
      <c r="AX159" s="513"/>
      <c r="AY159" s="513"/>
    </row>
    <row r="160" spans="1:51" s="115" customFormat="1" ht="12.75" hidden="1" customHeight="1">
      <c r="A160" s="115" t="s">
        <v>46</v>
      </c>
      <c r="B160" s="115">
        <f>IF(B109=4,C156,0)</f>
        <v>0</v>
      </c>
      <c r="D160" s="168">
        <f>IF(D109=4,C156,0)</f>
        <v>0</v>
      </c>
      <c r="E160" s="115">
        <f>IF(E109=4,F156,0)</f>
        <v>0</v>
      </c>
      <c r="G160" s="168">
        <f>IF(G109=4,F156,0)</f>
        <v>0</v>
      </c>
      <c r="H160" s="115">
        <f>IF(H109=4,I156,0)</f>
        <v>0</v>
      </c>
      <c r="J160" s="168">
        <f>IF(J109=4,I156,0)</f>
        <v>0</v>
      </c>
      <c r="K160" s="115">
        <f>IF(K109=4,L156,0)</f>
        <v>0</v>
      </c>
      <c r="M160" s="168">
        <f>IF(M109=4,L156,0)</f>
        <v>0</v>
      </c>
      <c r="N160" s="115">
        <f>IF(N109=4,O156,0)</f>
        <v>0</v>
      </c>
      <c r="P160" s="168">
        <f>IF(P109=4,O156,0)</f>
        <v>0</v>
      </c>
      <c r="Q160" s="115">
        <f>IF(Q109=4,R156,0)</f>
        <v>0</v>
      </c>
      <c r="S160" s="168">
        <f>IF(S109=4,R156,0)</f>
        <v>0</v>
      </c>
      <c r="T160" s="115">
        <f>IF(T109=4,U156,0)</f>
        <v>0</v>
      </c>
      <c r="V160" s="168">
        <f>IF(V109=4,U156,0)</f>
        <v>0</v>
      </c>
      <c r="W160" s="115">
        <f>IF(W109=4,X156,0)</f>
        <v>0</v>
      </c>
      <c r="Y160" s="168">
        <f>IF(Y109=4,X156,0)</f>
        <v>0</v>
      </c>
      <c r="Z160" s="115">
        <f>IF(Z109=4,AA156,0)</f>
        <v>0</v>
      </c>
      <c r="AB160" s="168">
        <f>IF(AB109=4,AA156,0)</f>
        <v>0</v>
      </c>
      <c r="AC160" s="115">
        <f>IF(AC109=4,AD156,0)</f>
        <v>0</v>
      </c>
      <c r="AE160" s="168">
        <f>IF(AE109=4,AD156,0)</f>
        <v>0</v>
      </c>
      <c r="AF160" s="115">
        <f>SUM(B160:AE160)</f>
        <v>0</v>
      </c>
      <c r="AT160" s="513"/>
      <c r="AU160" s="513"/>
      <c r="AV160" s="513"/>
      <c r="AW160" s="514"/>
      <c r="AX160" s="513"/>
      <c r="AY160" s="513"/>
    </row>
    <row r="161" spans="1:54" s="115" customFormat="1" ht="12.75" hidden="1" customHeight="1">
      <c r="A161" s="115" t="s">
        <v>47</v>
      </c>
      <c r="B161" s="115">
        <f>IF(B109=5,C156,0)</f>
        <v>0</v>
      </c>
      <c r="D161" s="168">
        <f>IF(D109=5,C156,0)</f>
        <v>0</v>
      </c>
      <c r="E161" s="115">
        <f>IF(E109=5,F156,0)</f>
        <v>0</v>
      </c>
      <c r="G161" s="168">
        <f>IF(G109=5,F156,0)</f>
        <v>0</v>
      </c>
      <c r="H161" s="115">
        <f>IF(H109=5,I156,0)</f>
        <v>0</v>
      </c>
      <c r="J161" s="168">
        <f>IF(J109=5,I156,0)</f>
        <v>0</v>
      </c>
      <c r="K161" s="115">
        <f>IF(K109=5,L156,0)</f>
        <v>0</v>
      </c>
      <c r="M161" s="168">
        <f>IF(M109=5,L156,0)</f>
        <v>0</v>
      </c>
      <c r="N161" s="115">
        <f>IF(N109=5,O156,0)</f>
        <v>0</v>
      </c>
      <c r="P161" s="168">
        <f>IF(P109=5,O156,0)</f>
        <v>0</v>
      </c>
      <c r="Q161" s="115">
        <f>IF(Q109=5,R156,0)</f>
        <v>0</v>
      </c>
      <c r="S161" s="168">
        <f>IF(S109=5,R156,0)</f>
        <v>0</v>
      </c>
      <c r="T161" s="115">
        <f>IF(T109=5,U156,0)</f>
        <v>0</v>
      </c>
      <c r="V161" s="168">
        <f>IF(V109=5,U156,0)</f>
        <v>0</v>
      </c>
      <c r="W161" s="115">
        <f>IF(W109=5,X156,0)</f>
        <v>0</v>
      </c>
      <c r="Y161" s="168">
        <f>IF(Y109=5,X156,0)</f>
        <v>0</v>
      </c>
      <c r="Z161" s="115">
        <f>IF(Z109=5,AA156,0)</f>
        <v>0</v>
      </c>
      <c r="AB161" s="168">
        <f>IF(AB109=5,AA156,0)</f>
        <v>0</v>
      </c>
      <c r="AC161" s="115">
        <f>IF(AC109=5,AD156,0)</f>
        <v>0</v>
      </c>
      <c r="AE161" s="168">
        <f>IF(AE109=5,AD156,0)</f>
        <v>0</v>
      </c>
      <c r="AF161" s="115">
        <f>SUM(B161:AE161)</f>
        <v>0</v>
      </c>
      <c r="AT161" s="513"/>
      <c r="AU161" s="513"/>
      <c r="AV161" s="513"/>
      <c r="AW161" s="514"/>
      <c r="AX161" s="513"/>
      <c r="AY161" s="513"/>
    </row>
    <row r="162" spans="1:54" hidden="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c r="W162" s="118"/>
      <c r="X162" s="118"/>
      <c r="Y162" s="118"/>
      <c r="Z162" s="118"/>
      <c r="AA162" s="118"/>
      <c r="AB162" s="118"/>
      <c r="AC162" s="118"/>
      <c r="AD162" s="118"/>
      <c r="AE162" s="118"/>
      <c r="AF162" s="118"/>
      <c r="AG162" s="118"/>
      <c r="AH162" s="118"/>
      <c r="AI162" s="118"/>
      <c r="AJ162" s="118"/>
      <c r="AK162" s="118"/>
      <c r="AL162" s="118"/>
      <c r="AM162" s="118"/>
      <c r="AN162" s="119"/>
      <c r="AO162" s="119"/>
      <c r="AP162" s="119"/>
      <c r="AQ162" s="119"/>
      <c r="AR162" s="117"/>
      <c r="AS162" s="117"/>
      <c r="AT162" s="513"/>
      <c r="AU162" s="513"/>
      <c r="AV162" s="513"/>
      <c r="BB162" s="39"/>
    </row>
    <row r="163" spans="1:54" s="117" customFormat="1" hidden="1">
      <c r="A163" s="34"/>
      <c r="B163" s="34"/>
      <c r="C163" s="34" t="s">
        <v>223</v>
      </c>
      <c r="D163" s="34">
        <v>1</v>
      </c>
      <c r="E163" s="34"/>
      <c r="F163" s="34"/>
      <c r="G163" s="34">
        <v>2</v>
      </c>
      <c r="H163" s="34"/>
      <c r="I163" s="34"/>
      <c r="J163" s="34">
        <v>3</v>
      </c>
      <c r="K163" s="34"/>
      <c r="L163" s="34"/>
      <c r="M163" s="34">
        <v>4</v>
      </c>
      <c r="N163" s="34"/>
      <c r="O163" s="34"/>
      <c r="P163" s="34">
        <v>5</v>
      </c>
      <c r="Q163" s="34"/>
      <c r="R163" s="34"/>
      <c r="S163" s="34">
        <v>6</v>
      </c>
      <c r="T163" s="34"/>
      <c r="U163" s="34"/>
      <c r="V163" s="34">
        <v>7</v>
      </c>
      <c r="W163" s="34"/>
      <c r="X163" s="34"/>
      <c r="Y163" s="34">
        <v>8</v>
      </c>
      <c r="Z163" s="34"/>
      <c r="AA163" s="34"/>
      <c r="AB163" s="34">
        <v>9</v>
      </c>
      <c r="AC163" s="34"/>
      <c r="AD163" s="34"/>
      <c r="AE163" s="34">
        <v>10</v>
      </c>
      <c r="AF163" s="3"/>
      <c r="AG163" s="34"/>
      <c r="AI163" s="169"/>
      <c r="AJ163" s="3"/>
      <c r="AK163" s="3"/>
      <c r="AL163" s="3"/>
      <c r="AM163" s="3"/>
      <c r="AN163" s="3"/>
      <c r="AO163" s="3"/>
      <c r="AT163" s="515" t="s">
        <v>224</v>
      </c>
      <c r="AU163" s="513"/>
      <c r="AV163" s="513"/>
      <c r="AW163" s="514"/>
      <c r="AX163" s="513"/>
      <c r="AY163" s="513"/>
      <c r="BB163" s="170"/>
    </row>
    <row r="164" spans="1:54" s="117" customFormat="1" hidden="1">
      <c r="A164" s="171">
        <v>1</v>
      </c>
      <c r="B164" s="171" t="str">
        <f>E93</f>
        <v>Magnum 12 Black</v>
      </c>
      <c r="C164" s="171">
        <f>VLOOKUP(B164,AU$3:BB$33,3,FALSE)</f>
        <v>1530.4660296046136</v>
      </c>
      <c r="D164" s="171">
        <f>IF(B157,B172,IF(D157,D172,C164))</f>
        <v>1536.2756300279339</v>
      </c>
      <c r="E164" s="171"/>
      <c r="F164" s="171"/>
      <c r="G164" s="171">
        <f>IF(E157,E172,IF(G157,G172,D164))</f>
        <v>1536.2756300279339</v>
      </c>
      <c r="H164" s="171"/>
      <c r="I164" s="171"/>
      <c r="J164" s="171">
        <f>IF(H157,H172,IF(J157,J172,G164))</f>
        <v>1541.8981701239713</v>
      </c>
      <c r="K164" s="171"/>
      <c r="L164" s="171"/>
      <c r="M164" s="171">
        <f>IF(K157,K172,IF(M157,M172,J164))</f>
        <v>1541.8981701239713</v>
      </c>
      <c r="N164" s="171"/>
      <c r="O164" s="171"/>
      <c r="P164" s="171">
        <f>IF(N157,N172,IF(P157,P172,M164))</f>
        <v>1541.8981701239713</v>
      </c>
      <c r="Q164" s="171"/>
      <c r="R164" s="171"/>
      <c r="S164" s="171">
        <f>IF(Q157,Q172,IF(S157,S172,P164))</f>
        <v>1541.8981701239713</v>
      </c>
      <c r="T164" s="171"/>
      <c r="U164" s="171"/>
      <c r="V164" s="171">
        <f>IF(T157,T172,IF(V157,V172,S164))</f>
        <v>1541.8981701239713</v>
      </c>
      <c r="W164" s="171"/>
      <c r="X164" s="171"/>
      <c r="Y164" s="171">
        <f>IF(W157,W172,IF(Y157,Y172,V164))</f>
        <v>1541.8981701239713</v>
      </c>
      <c r="Z164" s="171"/>
      <c r="AA164" s="171"/>
      <c r="AB164" s="171">
        <f>IF(Z157,Z172,IF(AB157,AB172,Y164))</f>
        <v>1541.8981701239713</v>
      </c>
      <c r="AC164" s="171"/>
      <c r="AD164" s="171"/>
      <c r="AE164" s="171">
        <f>IF(AC157,AC172,IF(AE157,AE172,AB164))</f>
        <v>1541.8981701239713</v>
      </c>
      <c r="AF164" s="3"/>
      <c r="AG164" s="3"/>
      <c r="AJ164" s="3"/>
      <c r="AK164" s="3"/>
      <c r="AL164" s="3"/>
      <c r="AM164" s="3"/>
      <c r="AN164" s="3"/>
      <c r="AO164" s="3"/>
      <c r="AT164" s="513" t="str">
        <f>B164</f>
        <v>Magnum 12 Black</v>
      </c>
      <c r="AU164" s="513">
        <f>AE164</f>
        <v>1541.8981701239713</v>
      </c>
      <c r="AV164" s="513"/>
      <c r="AW164" s="514"/>
      <c r="AX164" s="513"/>
      <c r="AY164" s="513"/>
      <c r="BB164" s="170"/>
    </row>
    <row r="165" spans="1:54" s="117" customFormat="1" hidden="1">
      <c r="A165" s="171">
        <v>2</v>
      </c>
      <c r="B165" s="171" t="str">
        <f>E95</f>
        <v>Excell U12 Devel</v>
      </c>
      <c r="C165" s="171">
        <f>VLOOKUP(B165,AU$3:BB$33,3,FALSE)</f>
        <v>1186.0390794838293</v>
      </c>
      <c r="D165" s="171">
        <f>IF(B158,B172,IF(D158,D172,C165))</f>
        <v>1180.229479060509</v>
      </c>
      <c r="E165" s="171"/>
      <c r="F165" s="171"/>
      <c r="G165" s="171">
        <f>IF(E158,E172,IF(G158,G172,D165))</f>
        <v>1180.6127196485652</v>
      </c>
      <c r="H165" s="171"/>
      <c r="I165" s="171"/>
      <c r="J165" s="171">
        <f>IF(H158,H172,IF(J158,J172,G165))</f>
        <v>1180.6127196485652</v>
      </c>
      <c r="K165" s="171"/>
      <c r="L165" s="171"/>
      <c r="M165" s="171">
        <f>IF(K158,K172,IF(M158,M172,J165))</f>
        <v>1180.6127196485652</v>
      </c>
      <c r="N165" s="171"/>
      <c r="O165" s="171"/>
      <c r="P165" s="171">
        <f>IF(N158,N172,IF(P158,P172,M165))</f>
        <v>1180.6127196485652</v>
      </c>
      <c r="Q165" s="171"/>
      <c r="R165" s="171"/>
      <c r="S165" s="171">
        <f>IF(Q158,Q172,IF(S158,S172,P165))</f>
        <v>1180.6127196485652</v>
      </c>
      <c r="T165" s="171"/>
      <c r="U165" s="171"/>
      <c r="V165" s="171">
        <f>IF(T158,T172,IF(V158,V172,S165))</f>
        <v>1180.6127196485652</v>
      </c>
      <c r="W165" s="171"/>
      <c r="X165" s="171"/>
      <c r="Y165" s="171">
        <f>IF(W158,W172,IF(Y158,Y172,V165))</f>
        <v>1180.6127196485652</v>
      </c>
      <c r="Z165" s="171"/>
      <c r="AA165" s="171"/>
      <c r="AB165" s="171">
        <f>IF(Z158,Z172,IF(AB158,AB172,Y165))</f>
        <v>1180.6127196485652</v>
      </c>
      <c r="AC165" s="171"/>
      <c r="AD165" s="171"/>
      <c r="AE165" s="171">
        <f>IF(AC158,AC172,IF(AE158,AE172,AB165))</f>
        <v>1180.6127196485652</v>
      </c>
      <c r="AF165" s="3"/>
      <c r="AG165" s="3"/>
      <c r="AJ165" s="3"/>
      <c r="AL165" s="3"/>
      <c r="AM165" s="3"/>
      <c r="AN165" s="3"/>
      <c r="AO165" s="3"/>
      <c r="AT165" s="513" t="str">
        <f>B165</f>
        <v>Excell U12 Devel</v>
      </c>
      <c r="AU165" s="513">
        <f>AE165</f>
        <v>1180.6127196485652</v>
      </c>
      <c r="AV165" s="513"/>
      <c r="AW165" s="514"/>
      <c r="AX165" s="513"/>
      <c r="AY165" s="513"/>
      <c r="BB165" s="170"/>
    </row>
    <row r="166" spans="1:54" s="117" customFormat="1" hidden="1">
      <c r="A166" s="171">
        <v>3</v>
      </c>
      <c r="B166" s="171" t="str">
        <f>E97</f>
        <v>Columbia SC Starlings 12</v>
      </c>
      <c r="C166" s="171">
        <f>VLOOKUP(B166,AU$3:BB$33,3,FALSE)</f>
        <v>1185.7779264437215</v>
      </c>
      <c r="D166" s="171">
        <f>IF(B159,B172,IF(D159,D172,C166))</f>
        <v>1185.7779264437215</v>
      </c>
      <c r="E166" s="171"/>
      <c r="F166" s="171"/>
      <c r="G166" s="171">
        <f>IF(E159,E172,IF(G159,G172,D166))</f>
        <v>1185.3946858556653</v>
      </c>
      <c r="H166" s="171"/>
      <c r="I166" s="171"/>
      <c r="J166" s="171">
        <f>IF(H159,H172,IF(J159,J172,G166))</f>
        <v>1179.7721457596278</v>
      </c>
      <c r="K166" s="171"/>
      <c r="L166" s="171"/>
      <c r="M166" s="171">
        <f>IF(K159,K172,IF(M159,M172,J166))</f>
        <v>1179.7721457596278</v>
      </c>
      <c r="N166" s="171"/>
      <c r="O166" s="171"/>
      <c r="P166" s="171">
        <f>IF(N159,N172,IF(P159,P172,M166))</f>
        <v>1179.7721457596278</v>
      </c>
      <c r="Q166" s="171"/>
      <c r="R166" s="171"/>
      <c r="S166" s="171">
        <f>IF(Q159,Q172,IF(S159,S172,P166))</f>
        <v>1179.7721457596278</v>
      </c>
      <c r="T166" s="171"/>
      <c r="U166" s="171"/>
      <c r="V166" s="171">
        <f>IF(T159,T172,IF(V159,V172,S166))</f>
        <v>1179.7721457596278</v>
      </c>
      <c r="W166" s="171"/>
      <c r="X166" s="171"/>
      <c r="Y166" s="171">
        <f>IF(W159,W172,IF(Y159,Y172,V166))</f>
        <v>1179.7721457596278</v>
      </c>
      <c r="Z166" s="171"/>
      <c r="AA166" s="171"/>
      <c r="AB166" s="171">
        <f>IF(Z159,Z172,IF(AB159,AB172,Y166))</f>
        <v>1179.7721457596278</v>
      </c>
      <c r="AC166" s="171"/>
      <c r="AD166" s="171"/>
      <c r="AE166" s="171">
        <f>IF(AC159,AC172,IF(AE159,AE172,AB166))</f>
        <v>1179.7721457596278</v>
      </c>
      <c r="AF166" s="3"/>
      <c r="AG166" s="3"/>
      <c r="AJ166" s="3"/>
      <c r="AL166" s="3"/>
      <c r="AM166" s="3"/>
      <c r="AN166" s="3"/>
      <c r="AO166" s="3"/>
      <c r="AT166" s="513" t="str">
        <f>B166</f>
        <v>Columbia SC Starlings 12</v>
      </c>
      <c r="AU166" s="513">
        <f>AE166</f>
        <v>1179.7721457596278</v>
      </c>
      <c r="AV166" s="513"/>
      <c r="AW166" s="514"/>
      <c r="AX166" s="513"/>
      <c r="AY166" s="513"/>
      <c r="BB166" s="170"/>
    </row>
    <row r="167" spans="1:54" s="117" customFormat="1" hidden="1">
      <c r="A167" s="171">
        <v>4</v>
      </c>
      <c r="B167" s="171" t="str">
        <f>E99</f>
        <v>Team 11</v>
      </c>
      <c r="C167" s="171">
        <f>VLOOKUP(B167,AU$3:BB$33,3,FALSE)</f>
        <v>2011</v>
      </c>
      <c r="D167" s="171">
        <f>IF(B160,B172,IF(D160,D172,C167))</f>
        <v>2011</v>
      </c>
      <c r="E167" s="171"/>
      <c r="F167" s="171"/>
      <c r="G167" s="171">
        <f>IF(E160,E172,IF(G160,G172,D167))</f>
        <v>2011</v>
      </c>
      <c r="H167" s="171"/>
      <c r="I167" s="171"/>
      <c r="J167" s="171">
        <f>IF(H160,H172,IF(J160,J172,G167))</f>
        <v>2011</v>
      </c>
      <c r="K167" s="171"/>
      <c r="L167" s="171"/>
      <c r="M167" s="171">
        <f>IF(K160,K172,IF(M160,M172,J167))</f>
        <v>2011</v>
      </c>
      <c r="N167" s="171"/>
      <c r="O167" s="171"/>
      <c r="P167" s="171">
        <f>IF(N160,N172,IF(P160,P172,M167))</f>
        <v>2011</v>
      </c>
      <c r="Q167" s="171"/>
      <c r="R167" s="171"/>
      <c r="S167" s="171">
        <f>IF(Q160,Q172,IF(S160,S172,P167))</f>
        <v>2011</v>
      </c>
      <c r="T167" s="171"/>
      <c r="U167" s="171"/>
      <c r="V167" s="171">
        <f>IF(T160,T172,IF(V160,V172,S167))</f>
        <v>2011</v>
      </c>
      <c r="W167" s="171"/>
      <c r="X167" s="171"/>
      <c r="Y167" s="171">
        <f>IF(W160,W172,IF(Y160,Y172,V167))</f>
        <v>2011</v>
      </c>
      <c r="Z167" s="171"/>
      <c r="AA167" s="171"/>
      <c r="AB167" s="171">
        <f>IF(Z160,Z172,IF(AB160,AB172,Y167))</f>
        <v>2011</v>
      </c>
      <c r="AC167" s="171"/>
      <c r="AD167" s="171"/>
      <c r="AE167" s="171">
        <f>IF(AC160,AC172,IF(AE160,AE172,AB167))</f>
        <v>2011</v>
      </c>
      <c r="AF167" s="3"/>
      <c r="AG167" s="3"/>
      <c r="AJ167" s="3"/>
      <c r="AL167" s="3"/>
      <c r="AM167" s="3"/>
      <c r="AN167" s="3"/>
      <c r="AO167" s="3"/>
      <c r="AT167" s="513" t="str">
        <f>B167</f>
        <v>Team 11</v>
      </c>
      <c r="AU167" s="513">
        <f>AE167</f>
        <v>2011</v>
      </c>
      <c r="AV167" s="513"/>
      <c r="AW167" s="514"/>
      <c r="AX167" s="513"/>
      <c r="AY167" s="513"/>
      <c r="BB167" s="170"/>
    </row>
    <row r="168" spans="1:54" s="117" customFormat="1" hidden="1">
      <c r="A168" s="171">
        <v>5</v>
      </c>
      <c r="B168" s="171">
        <f>E101</f>
        <v>0</v>
      </c>
      <c r="C168" s="171" t="e">
        <f>VLOOKUP(B168,AU$3:BB$33,3,FALSE)</f>
        <v>#N/A</v>
      </c>
      <c r="D168" s="171" t="e">
        <f>IF(B161,B172,IF(D161,D172,C168))</f>
        <v>#N/A</v>
      </c>
      <c r="E168" s="171"/>
      <c r="F168" s="171"/>
      <c r="G168" s="171" t="e">
        <f>IF(E161,E172,IF(G161,G172,D168))</f>
        <v>#N/A</v>
      </c>
      <c r="H168" s="171"/>
      <c r="I168" s="171"/>
      <c r="J168" s="171" t="e">
        <f>IF(H161,H172,IF(J161,J172,G168))</f>
        <v>#N/A</v>
      </c>
      <c r="K168" s="171"/>
      <c r="L168" s="171"/>
      <c r="M168" s="171" t="e">
        <f>IF(K161,K172,IF(M161,M172,J168))</f>
        <v>#N/A</v>
      </c>
      <c r="N168" s="171"/>
      <c r="O168" s="171"/>
      <c r="P168" s="171" t="e">
        <f>IF(N161,N172,IF(P161,P172,M168))</f>
        <v>#N/A</v>
      </c>
      <c r="Q168" s="171"/>
      <c r="R168" s="171"/>
      <c r="S168" s="171" t="e">
        <f>IF(Q161,Q172,IF(S161,S172,P168))</f>
        <v>#N/A</v>
      </c>
      <c r="T168" s="171"/>
      <c r="U168" s="171"/>
      <c r="V168" s="171" t="e">
        <f>IF(T161,T172,IF(V161,V172,S168))</f>
        <v>#N/A</v>
      </c>
      <c r="W168" s="171"/>
      <c r="X168" s="171"/>
      <c r="Y168" s="171" t="e">
        <f>IF(W161,W172,IF(Y161,Y172,V168))</f>
        <v>#N/A</v>
      </c>
      <c r="Z168" s="171"/>
      <c r="AA168" s="171"/>
      <c r="AB168" s="171" t="e">
        <f>IF(Z161,Z172,IF(AB161,AB172,Y168))</f>
        <v>#N/A</v>
      </c>
      <c r="AC168" s="171"/>
      <c r="AD168" s="171"/>
      <c r="AE168" s="171" t="e">
        <f>IF(AC161,AC172,IF(AE161,AE172,AB168))</f>
        <v>#N/A</v>
      </c>
      <c r="AF168" s="3"/>
      <c r="AG168" s="3"/>
      <c r="AJ168" s="3"/>
      <c r="AL168" s="3"/>
      <c r="AM168" s="3"/>
      <c r="AN168" s="3"/>
      <c r="AO168" s="3"/>
      <c r="AT168" s="513">
        <f>B168</f>
        <v>0</v>
      </c>
      <c r="AU168" s="513" t="e">
        <f>AE168</f>
        <v>#N/A</v>
      </c>
      <c r="AV168" s="513"/>
      <c r="AW168" s="514"/>
      <c r="AX168" s="513"/>
      <c r="AY168" s="513"/>
      <c r="BB168" s="170"/>
    </row>
    <row r="169" spans="1:54" s="117" customFormat="1" hidden="1">
      <c r="A169" s="171"/>
      <c r="B169" s="171"/>
      <c r="C169" s="171"/>
      <c r="D169" s="171"/>
      <c r="E169" s="171"/>
      <c r="F169" s="171"/>
      <c r="G169" s="171"/>
      <c r="H169" s="171"/>
      <c r="I169" s="171"/>
      <c r="J169" s="171"/>
      <c r="K169" s="171"/>
      <c r="L169" s="171"/>
      <c r="M169" s="171"/>
      <c r="N169" s="171"/>
      <c r="O169" s="171"/>
      <c r="P169" s="171"/>
      <c r="Q169" s="171"/>
      <c r="R169" s="171"/>
      <c r="S169" s="171"/>
      <c r="T169" s="171"/>
      <c r="U169" s="171"/>
      <c r="V169" s="171"/>
      <c r="W169" s="171"/>
      <c r="X169" s="171"/>
      <c r="Y169" s="171"/>
      <c r="Z169" s="171"/>
      <c r="AA169" s="171"/>
      <c r="AB169" s="171"/>
      <c r="AC169" s="171"/>
      <c r="AD169" s="171"/>
      <c r="AE169" s="171"/>
      <c r="AF169" s="3"/>
      <c r="AG169" s="3"/>
      <c r="AJ169" s="3"/>
      <c r="AL169" s="3"/>
      <c r="AM169" s="3"/>
      <c r="AN169" s="3"/>
      <c r="AO169" s="3"/>
      <c r="AT169" s="513"/>
      <c r="AU169" s="513"/>
      <c r="AV169" s="513"/>
      <c r="AW169" s="514"/>
      <c r="AX169" s="513"/>
      <c r="AY169" s="513"/>
      <c r="BB169" s="170"/>
    </row>
    <row r="170" spans="1:54" s="117" customFormat="1" hidden="1">
      <c r="A170" s="171" t="s">
        <v>225</v>
      </c>
      <c r="B170" s="171">
        <f>VLOOKUP(B109,$A164:$AE168,3,FALSE)</f>
        <v>1530.4660296046136</v>
      </c>
      <c r="C170" s="171">
        <v>1</v>
      </c>
      <c r="D170" s="171">
        <f>VLOOKUP(D109,$A164:$AE168,3,FALSE)</f>
        <v>1186.0390794838293</v>
      </c>
      <c r="E170" s="171">
        <f>VLOOKUP(E109,$A164:$AE168,4,FALSE)</f>
        <v>1180.229479060509</v>
      </c>
      <c r="F170" s="171">
        <v>2</v>
      </c>
      <c r="G170" s="171">
        <f>VLOOKUP(G109,$A164:$AE168,4,FALSE)</f>
        <v>1185.7779264437215</v>
      </c>
      <c r="H170" s="171">
        <f>VLOOKUP(H109,$A164:$AE168,7,FALSE)</f>
        <v>1536.2756300279339</v>
      </c>
      <c r="I170" s="171">
        <v>3</v>
      </c>
      <c r="J170" s="171">
        <f>VLOOKUP(J109,$A164:$AE168,7,FALSE)</f>
        <v>1185.3946858556653</v>
      </c>
      <c r="K170" s="171" t="e">
        <f>VLOOKUP(K109,$A164:$AE168,10,FALSE)</f>
        <v>#N/A</v>
      </c>
      <c r="L170" s="171">
        <v>4</v>
      </c>
      <c r="M170" s="171" t="e">
        <f>VLOOKUP(M109,$A164:$AE168,10,FALSE)</f>
        <v>#N/A</v>
      </c>
      <c r="N170" s="171" t="e">
        <f>VLOOKUP(N109,$A164:$AE168,13,FALSE)</f>
        <v>#N/A</v>
      </c>
      <c r="O170" s="171">
        <v>5</v>
      </c>
      <c r="P170" s="171" t="e">
        <f>VLOOKUP(P109,$A164:$AE168,13,FALSE)</f>
        <v>#N/A</v>
      </c>
      <c r="Q170" s="171" t="e">
        <f>VLOOKUP(Q109,$A164:$AE168,16,FALSE)</f>
        <v>#N/A</v>
      </c>
      <c r="R170" s="171">
        <v>6</v>
      </c>
      <c r="S170" s="171" t="e">
        <f>VLOOKUP(S109,$A164:$AE168,16,FALSE)</f>
        <v>#N/A</v>
      </c>
      <c r="T170" s="171" t="e">
        <f>VLOOKUP(T109,$A164:$AE168,19,FALSE)</f>
        <v>#N/A</v>
      </c>
      <c r="U170" s="171">
        <v>7</v>
      </c>
      <c r="V170" s="171" t="e">
        <f>VLOOKUP(V109,$A164:$AE168,19,FALSE)</f>
        <v>#N/A</v>
      </c>
      <c r="W170" s="171" t="e">
        <f>VLOOKUP(W109,$A164:$AE168,22,FALSE)</f>
        <v>#N/A</v>
      </c>
      <c r="X170" s="171">
        <v>8</v>
      </c>
      <c r="Y170" s="171" t="e">
        <f>VLOOKUP(Y109,$A164:$AE168,22,FALSE)</f>
        <v>#N/A</v>
      </c>
      <c r="Z170" s="171" t="e">
        <f>VLOOKUP(Z109,$A164:$AE168,25,FALSE)</f>
        <v>#N/A</v>
      </c>
      <c r="AA170" s="171">
        <v>9</v>
      </c>
      <c r="AB170" s="171" t="e">
        <f>VLOOKUP(AB109,$A164:$AE168,25,FALSE)</f>
        <v>#N/A</v>
      </c>
      <c r="AC170" s="171" t="e">
        <f>VLOOKUP(AC109,$A164:$AE168,28,FALSE)</f>
        <v>#N/A</v>
      </c>
      <c r="AD170" s="171">
        <v>10</v>
      </c>
      <c r="AE170" s="171" t="e">
        <f>VLOOKUP(AE109,$A164:$AE168,28,FALSE)</f>
        <v>#N/A</v>
      </c>
      <c r="AF170" s="3"/>
      <c r="AG170" s="118"/>
      <c r="AH170" s="118"/>
      <c r="AI170" s="118"/>
      <c r="AJ170" s="118"/>
      <c r="AK170" s="118"/>
      <c r="AL170" s="118"/>
      <c r="AM170" s="118"/>
      <c r="AN170" s="119"/>
      <c r="AO170" s="119"/>
      <c r="AP170" s="119"/>
      <c r="AQ170" s="119"/>
      <c r="AT170" s="513"/>
      <c r="AU170" s="513"/>
      <c r="AV170" s="513"/>
      <c r="AW170" s="514"/>
      <c r="AX170" s="513"/>
      <c r="AY170" s="513"/>
      <c r="BB170" s="170"/>
    </row>
    <row r="171" spans="1:54" s="176" customFormat="1" hidden="1">
      <c r="A171" s="172" t="s">
        <v>226</v>
      </c>
      <c r="B171" s="172">
        <f>1/(1+(10^-((B170-D170)/400)))*(B121+D121)</f>
        <v>1.757933315694989</v>
      </c>
      <c r="C171" s="172"/>
      <c r="D171" s="172">
        <f>1/(1+(10^-((D170-B170)/400)))*(B121+D121)</f>
        <v>0.24206668430501121</v>
      </c>
      <c r="E171" s="172">
        <f>1/(1+(10^-((E170-G170)/400)))*(E121+G121)</f>
        <v>0.98403164216432693</v>
      </c>
      <c r="F171" s="172"/>
      <c r="G171" s="172">
        <f>1/(1+(10^-((G170-E170)/400)))*(E121+G121)</f>
        <v>1.0159683578356729</v>
      </c>
      <c r="H171" s="172">
        <f>1/(1+(10^-((H170-J170)/400)))*(H121+J121)</f>
        <v>1.7657274959984357</v>
      </c>
      <c r="I171" s="172"/>
      <c r="J171" s="172">
        <f>1/(1+(10^-((J170-H170)/400)))*(H121+J121)</f>
        <v>0.23427250400156427</v>
      </c>
      <c r="K171" s="172" t="e">
        <f>1/(1+(10^-((K170-M170)/400)))*(K121+M121)</f>
        <v>#N/A</v>
      </c>
      <c r="L171" s="172"/>
      <c r="M171" s="172" t="e">
        <f>1/(1+(10^-((M170-K170)/400)))*(K121+M121)</f>
        <v>#N/A</v>
      </c>
      <c r="N171" s="172" t="e">
        <f>1/(1+(10^-((N170-P170)/400)))*(N121+P121)</f>
        <v>#N/A</v>
      </c>
      <c r="O171" s="172"/>
      <c r="P171" s="172" t="e">
        <f>1/(1+(10^-((P170-N170)/400)))*(N121+P121)</f>
        <v>#N/A</v>
      </c>
      <c r="Q171" s="172" t="e">
        <f>1/(1+(10^-((Q170-S170)/400)))*(Q121+S121)</f>
        <v>#N/A</v>
      </c>
      <c r="R171" s="172"/>
      <c r="S171" s="172" t="e">
        <f>1/(1+(10^-((S170-Q170)/400)))*(Q121+S121)</f>
        <v>#N/A</v>
      </c>
      <c r="T171" s="172" t="e">
        <f>1/(1+(10^-((T170-V170)/400)))*(T121+V121)</f>
        <v>#N/A</v>
      </c>
      <c r="U171" s="172"/>
      <c r="V171" s="172" t="e">
        <f>1/(1+(10^-((V170-T170)/400)))*(T121+V121)</f>
        <v>#N/A</v>
      </c>
      <c r="W171" s="172" t="e">
        <f>1/(1+(10^-((W170-Y170)/400)))*(W121+Y121)</f>
        <v>#N/A</v>
      </c>
      <c r="X171" s="172"/>
      <c r="Y171" s="172" t="e">
        <f>1/(1+(10^-((Y170-W170)/400)))*(W121+Y121)</f>
        <v>#N/A</v>
      </c>
      <c r="Z171" s="172" t="e">
        <f>1/(1+(10^-((Z170-AB170)/400)))*(Z121+AB121)</f>
        <v>#N/A</v>
      </c>
      <c r="AA171" s="172"/>
      <c r="AB171" s="172" t="e">
        <f>1/(1+(10^-((AB170-Z170)/400)))*(Z121+AB121)</f>
        <v>#N/A</v>
      </c>
      <c r="AC171" s="172" t="e">
        <f>1/(1+(10^-((AC170-AE170)/400)))*(AC121+AE121)</f>
        <v>#N/A</v>
      </c>
      <c r="AD171" s="172"/>
      <c r="AE171" s="172" t="e">
        <f>1/(1+(10^-((AE170-AC170)/400)))*(AC121+AE121)</f>
        <v>#N/A</v>
      </c>
      <c r="AF171" s="173"/>
      <c r="AG171" s="174"/>
      <c r="AH171" s="174"/>
      <c r="AI171" s="174"/>
      <c r="AJ171" s="174"/>
      <c r="AK171" s="174"/>
      <c r="AL171" s="174"/>
      <c r="AM171" s="174"/>
      <c r="AN171" s="175"/>
      <c r="AO171" s="175"/>
      <c r="AP171" s="175"/>
      <c r="AQ171" s="175"/>
      <c r="AT171" s="516"/>
      <c r="AU171" s="516"/>
      <c r="AV171" s="516"/>
      <c r="AW171" s="517"/>
      <c r="AX171" s="516"/>
      <c r="AY171" s="516"/>
      <c r="BB171" s="177"/>
    </row>
    <row r="172" spans="1:54" s="182" customFormat="1" hidden="1">
      <c r="A172" s="178" t="s">
        <v>227</v>
      </c>
      <c r="B172" s="178">
        <f>B170+(B121-B171)*$BA$1</f>
        <v>1536.2756300279339</v>
      </c>
      <c r="C172" s="178"/>
      <c r="D172" s="178">
        <f>D170+(D121-D171)*$BA$1</f>
        <v>1180.229479060509</v>
      </c>
      <c r="E172" s="178">
        <f>E170+(E121-E171)*$BA$1</f>
        <v>1180.6127196485652</v>
      </c>
      <c r="F172" s="178"/>
      <c r="G172" s="178">
        <f>G170+(G121-G171)*$BA$1</f>
        <v>1185.3946858556653</v>
      </c>
      <c r="H172" s="178">
        <f>H170+(H121-H171)*$BA$1</f>
        <v>1541.8981701239713</v>
      </c>
      <c r="I172" s="178"/>
      <c r="J172" s="178">
        <f>J170+(J121-J171)*$BA$1</f>
        <v>1179.7721457596278</v>
      </c>
      <c r="K172" s="178" t="e">
        <f>K170+(K121-K171)*$BA$1</f>
        <v>#N/A</v>
      </c>
      <c r="L172" s="178"/>
      <c r="M172" s="178" t="e">
        <f>M170+(M121-M171)*$BA$1</f>
        <v>#N/A</v>
      </c>
      <c r="N172" s="178" t="e">
        <f>N170+(N121-N171)*$BA$1</f>
        <v>#N/A</v>
      </c>
      <c r="O172" s="178"/>
      <c r="P172" s="178" t="e">
        <f>P170+(P121-P171)*$BA$1</f>
        <v>#N/A</v>
      </c>
      <c r="Q172" s="178" t="e">
        <f>Q170+(Q121-Q171)*$BA$1</f>
        <v>#N/A</v>
      </c>
      <c r="R172" s="178"/>
      <c r="S172" s="178" t="e">
        <f>S170+(S121-S171)*$BA$1</f>
        <v>#N/A</v>
      </c>
      <c r="T172" s="178" t="e">
        <f>T170+(T121-T171)*$BA$1</f>
        <v>#N/A</v>
      </c>
      <c r="U172" s="178"/>
      <c r="V172" s="178" t="e">
        <f>V170+(V121-V171)*$BA$1</f>
        <v>#N/A</v>
      </c>
      <c r="W172" s="178" t="e">
        <f>W170+(W121-W171)*$BA$1</f>
        <v>#N/A</v>
      </c>
      <c r="X172" s="178"/>
      <c r="Y172" s="178" t="e">
        <f>Y170+(Y121-Y171)*$BA$1</f>
        <v>#N/A</v>
      </c>
      <c r="Z172" s="178" t="e">
        <f>Z170+(Z121-Z171)*$BA$1</f>
        <v>#N/A</v>
      </c>
      <c r="AA172" s="178"/>
      <c r="AB172" s="178" t="e">
        <f>AB170+(AB121-AB171)*$BA$1</f>
        <v>#N/A</v>
      </c>
      <c r="AC172" s="178" t="e">
        <f>AC170+(AC121-AC171)*$BA$1</f>
        <v>#N/A</v>
      </c>
      <c r="AD172" s="178"/>
      <c r="AE172" s="178" t="e">
        <f>AE170+(AE121-AE171)*$BA$1</f>
        <v>#N/A</v>
      </c>
      <c r="AF172" s="179"/>
      <c r="AG172" s="180"/>
      <c r="AH172" s="180"/>
      <c r="AI172" s="180"/>
      <c r="AJ172" s="180"/>
      <c r="AK172" s="180"/>
      <c r="AL172" s="180"/>
      <c r="AM172" s="180"/>
      <c r="AN172" s="181"/>
      <c r="AO172" s="181"/>
      <c r="AP172" s="181"/>
      <c r="AQ172" s="181"/>
      <c r="AT172" s="518"/>
      <c r="AU172" s="518"/>
      <c r="AV172" s="518"/>
      <c r="AW172" s="519"/>
      <c r="AX172" s="518"/>
      <c r="AY172" s="518"/>
      <c r="BB172" s="183"/>
    </row>
    <row r="173" spans="1:54" s="182" customFormat="1" hidden="1">
      <c r="A173" s="178"/>
      <c r="B173" s="178"/>
      <c r="C173" s="178"/>
      <c r="D173" s="178"/>
      <c r="E173" s="178"/>
      <c r="F173" s="178"/>
      <c r="G173" s="178"/>
      <c r="H173" s="178"/>
      <c r="I173" s="178"/>
      <c r="J173" s="178"/>
      <c r="K173" s="178"/>
      <c r="L173" s="178"/>
      <c r="M173" s="178"/>
      <c r="N173" s="178"/>
      <c r="O173" s="178"/>
      <c r="P173" s="178"/>
      <c r="Q173" s="178"/>
      <c r="R173" s="178"/>
      <c r="S173" s="178"/>
      <c r="T173" s="178"/>
      <c r="U173" s="178"/>
      <c r="V173" s="178"/>
      <c r="W173" s="178"/>
      <c r="X173" s="178"/>
      <c r="Y173" s="178"/>
      <c r="Z173" s="178"/>
      <c r="AA173" s="178"/>
      <c r="AB173" s="178"/>
      <c r="AC173" s="178"/>
      <c r="AD173" s="178"/>
      <c r="AE173" s="178"/>
      <c r="AF173" s="179"/>
      <c r="AG173" s="180"/>
      <c r="AH173" s="180"/>
      <c r="AI173" s="180"/>
      <c r="AJ173" s="180"/>
      <c r="AK173" s="180"/>
      <c r="AL173" s="180"/>
      <c r="AM173" s="180"/>
      <c r="AN173" s="181"/>
      <c r="AO173" s="181"/>
      <c r="AP173" s="181"/>
      <c r="AQ173" s="181"/>
      <c r="AT173" s="518"/>
      <c r="AU173" s="518"/>
      <c r="AV173" s="518"/>
      <c r="AW173" s="519"/>
      <c r="AX173" s="518"/>
      <c r="AY173" s="518"/>
      <c r="BB173" s="183"/>
    </row>
    <row r="174" spans="1:54" s="117" customFormat="1">
      <c r="A174" s="393" t="str">
        <f>IF($AK95=1,"Pool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Tiebreaker : 1) Games Won vs Lost (if 3 way tie then #5)  2) Head to Head  3) Head to Head Net Points  4) Game Win %  5) Total Pool Net Points  6) Flip a Coin</v>
      </c>
      <c r="B174" s="393"/>
      <c r="C174" s="393"/>
      <c r="D174" s="393"/>
      <c r="E174" s="393"/>
      <c r="F174" s="393"/>
      <c r="G174" s="393"/>
      <c r="H174" s="393"/>
      <c r="I174" s="393"/>
      <c r="J174" s="393"/>
      <c r="K174" s="393"/>
      <c r="L174" s="393"/>
      <c r="M174" s="393"/>
      <c r="N174" s="393"/>
      <c r="O174" s="393"/>
      <c r="P174" s="393"/>
      <c r="Q174" s="393"/>
      <c r="R174" s="393"/>
      <c r="S174" s="393"/>
      <c r="T174" s="393"/>
      <c r="U174" s="393"/>
      <c r="V174" s="393"/>
      <c r="W174" s="393"/>
      <c r="X174" s="393"/>
      <c r="Y174" s="393"/>
      <c r="Z174" s="393"/>
      <c r="AA174" s="393"/>
      <c r="AB174" s="393"/>
      <c r="AC174" s="393"/>
      <c r="AD174" s="393"/>
      <c r="AE174" s="393"/>
      <c r="AF174" s="393"/>
      <c r="AG174" s="393"/>
      <c r="AH174" s="393"/>
      <c r="AI174" s="393"/>
      <c r="AJ174" s="393"/>
      <c r="AK174" s="393"/>
      <c r="AL174" s="393"/>
      <c r="AM174" s="394"/>
      <c r="AN174" s="394"/>
      <c r="AO174" s="394"/>
      <c r="AP174" s="394"/>
      <c r="AT174" s="513"/>
      <c r="AU174" s="513"/>
      <c r="AV174" s="513"/>
      <c r="AW174" s="514"/>
      <c r="AX174" s="513"/>
      <c r="AY174" s="513"/>
    </row>
    <row r="175" spans="1:54" s="117" customFormat="1" ht="13.5" thickBot="1">
      <c r="A175" s="395"/>
      <c r="B175" s="395"/>
      <c r="C175" s="395"/>
      <c r="D175" s="395"/>
      <c r="E175" s="395"/>
      <c r="F175" s="395"/>
      <c r="G175" s="395"/>
      <c r="H175" s="395"/>
      <c r="I175" s="395"/>
      <c r="J175" s="395"/>
      <c r="K175" s="395"/>
      <c r="L175" s="395"/>
      <c r="M175" s="395"/>
      <c r="N175" s="395"/>
      <c r="O175" s="395"/>
      <c r="P175" s="395"/>
      <c r="Q175" s="395"/>
      <c r="R175" s="395"/>
      <c r="S175" s="395"/>
      <c r="T175" s="395"/>
      <c r="U175" s="395"/>
      <c r="V175" s="395"/>
      <c r="W175" s="395"/>
      <c r="X175" s="395"/>
      <c r="Y175" s="395"/>
      <c r="Z175" s="395"/>
      <c r="AA175" s="395"/>
      <c r="AB175" s="395"/>
      <c r="AC175" s="395"/>
      <c r="AD175" s="395"/>
      <c r="AE175" s="395"/>
      <c r="AF175" s="395"/>
      <c r="AG175" s="395"/>
      <c r="AH175" s="395"/>
      <c r="AI175" s="395"/>
      <c r="AJ175" s="395"/>
      <c r="AK175" s="395"/>
      <c r="AL175" s="395"/>
      <c r="AM175" s="395"/>
      <c r="AN175" s="395"/>
      <c r="AO175" s="395"/>
      <c r="AP175" s="395"/>
      <c r="AQ175" s="395"/>
      <c r="AT175" s="513"/>
      <c r="AU175" s="513"/>
      <c r="AV175" s="513"/>
      <c r="AW175" s="514"/>
      <c r="AX175" s="513"/>
      <c r="AY175" s="513"/>
    </row>
    <row r="176" spans="1:54" ht="24" customHeight="1" thickBot="1">
      <c r="A176" s="96" t="s">
        <v>16</v>
      </c>
      <c r="B176" s="150" t="s">
        <v>243</v>
      </c>
      <c r="C176" s="274" t="s">
        <v>188</v>
      </c>
      <c r="D176" s="275"/>
      <c r="E176" s="275"/>
      <c r="F176" s="275"/>
      <c r="G176" s="275"/>
      <c r="H176" s="276"/>
      <c r="I176" s="277">
        <v>3</v>
      </c>
      <c r="J176" s="278"/>
      <c r="K176" s="460" t="str">
        <f>"Pool "&amp;B176&amp;" - Round 2 - Court "&amp;I176</f>
        <v>Pool C2 - Round 2 - Court 3</v>
      </c>
      <c r="L176" s="461"/>
      <c r="M176" s="461"/>
      <c r="N176" s="461"/>
      <c r="O176" s="461"/>
      <c r="P176" s="461"/>
      <c r="Q176" s="461"/>
      <c r="R176" s="461"/>
      <c r="S176" s="461"/>
      <c r="T176" s="461"/>
      <c r="U176" s="461"/>
      <c r="V176" s="461"/>
      <c r="W176" s="461"/>
      <c r="X176" s="461"/>
      <c r="Y176" s="461"/>
      <c r="Z176" s="461"/>
      <c r="AA176" s="461"/>
      <c r="AB176" s="461"/>
      <c r="AC176" s="461"/>
      <c r="AD176" s="461"/>
      <c r="AE176" s="461"/>
      <c r="AF176" s="461"/>
      <c r="AG176" s="461"/>
      <c r="AH176" s="461"/>
      <c r="AI176" s="462"/>
      <c r="AJ176" s="1"/>
      <c r="AK176" s="1"/>
      <c r="AL176" s="1"/>
      <c r="AM176" s="1"/>
      <c r="AN176" s="1"/>
      <c r="AO176" s="1"/>
      <c r="AP176" s="1"/>
      <c r="AQ176" s="1"/>
    </row>
    <row r="177" spans="1:44" ht="27" customHeight="1" thickBot="1">
      <c r="A177" s="97" t="s">
        <v>17</v>
      </c>
      <c r="B177" s="282" t="s">
        <v>5</v>
      </c>
      <c r="C177" s="295"/>
      <c r="D177" s="295"/>
      <c r="E177" s="295"/>
      <c r="F177" s="295"/>
      <c r="G177" s="295"/>
      <c r="H177" s="295"/>
      <c r="I177" s="295"/>
      <c r="J177" s="295"/>
      <c r="K177" s="295"/>
      <c r="L177" s="282" t="str">
        <f>IF($AK180=0,"Games Won","Matches Won")</f>
        <v>Games Won</v>
      </c>
      <c r="M177" s="295"/>
      <c r="N177" s="295"/>
      <c r="O177" s="295"/>
      <c r="P177" s="295"/>
      <c r="Q177" s="296"/>
      <c r="R177" s="282" t="str">
        <f>IF($AK180=0,"Games Lost","Matches Lost")</f>
        <v>Games Lost</v>
      </c>
      <c r="S177" s="299"/>
      <c r="T177" s="299"/>
      <c r="U177" s="299"/>
      <c r="V177" s="300"/>
      <c r="W177" s="301" t="s">
        <v>18</v>
      </c>
      <c r="X177" s="302"/>
      <c r="Y177" s="303"/>
      <c r="Z177" s="301" t="s">
        <v>189</v>
      </c>
      <c r="AA177" s="302"/>
      <c r="AB177" s="303"/>
      <c r="AC177" s="312" t="s">
        <v>19</v>
      </c>
      <c r="AD177" s="313"/>
      <c r="AE177" s="314"/>
      <c r="AF177" s="98" t="s">
        <v>20</v>
      </c>
      <c r="AG177" s="151" t="s">
        <v>4</v>
      </c>
      <c r="AH177" s="315" t="s">
        <v>21</v>
      </c>
      <c r="AI177" s="316"/>
      <c r="AJ177" s="99"/>
      <c r="AK177" s="100">
        <v>2</v>
      </c>
      <c r="AL177" s="101" t="s">
        <v>22</v>
      </c>
      <c r="AM177" s="101"/>
      <c r="AN177" s="101"/>
      <c r="AO177" s="101"/>
      <c r="AP177" s="101"/>
      <c r="AQ177" s="101"/>
      <c r="AR177" s="102"/>
    </row>
    <row r="178" spans="1:44" ht="18.75" customHeight="1">
      <c r="A178" s="317" t="str">
        <f>IF($AK179&gt;0,"1","")</f>
        <v>1</v>
      </c>
      <c r="B178" s="319" t="s">
        <v>5</v>
      </c>
      <c r="C178" s="320"/>
      <c r="D178" s="321"/>
      <c r="E178" s="322" t="str">
        <f>'AM 9 Team Pool - Rnd 1'!$B$266</f>
        <v>Magnum Aiken 12 Green</v>
      </c>
      <c r="F178" s="323"/>
      <c r="G178" s="323"/>
      <c r="H178" s="323"/>
      <c r="I178" s="323"/>
      <c r="J178" s="323"/>
      <c r="K178" s="324"/>
      <c r="L178" s="304">
        <f>IF($AK180=0,AF234,AF216)</f>
        <v>3</v>
      </c>
      <c r="M178" s="305"/>
      <c r="N178" s="305"/>
      <c r="O178" s="305"/>
      <c r="P178" s="305"/>
      <c r="Q178" s="297"/>
      <c r="R178" s="304">
        <f>IF($AK180=0,AG234,AG216)</f>
        <v>1</v>
      </c>
      <c r="S178" s="305"/>
      <c r="T178" s="305"/>
      <c r="U178" s="305"/>
      <c r="V178" s="305"/>
      <c r="W178" s="304">
        <f>AQ194</f>
        <v>17</v>
      </c>
      <c r="X178" s="305"/>
      <c r="Y178" s="305"/>
      <c r="Z178" s="308">
        <f>IF(AF228&gt;0,(AQ194/AF228),0)</f>
        <v>0.21794871794871795</v>
      </c>
      <c r="AA178" s="309"/>
      <c r="AB178" s="309"/>
      <c r="AC178" s="325">
        <f>IF(AF242=0,0,(AF234/AF242))</f>
        <v>0.75</v>
      </c>
      <c r="AD178" s="326"/>
      <c r="AE178" s="327"/>
      <c r="AF178" s="331">
        <v>1</v>
      </c>
      <c r="AG178" s="331">
        <v>1</v>
      </c>
      <c r="AH178" s="333"/>
      <c r="AI178" s="334"/>
      <c r="AJ178" s="99"/>
      <c r="AK178" s="100">
        <v>3</v>
      </c>
      <c r="AL178" s="101" t="s">
        <v>23</v>
      </c>
      <c r="AM178" s="101"/>
      <c r="AN178" s="101"/>
      <c r="AO178" s="101"/>
      <c r="AP178" s="101"/>
      <c r="AQ178" s="101"/>
      <c r="AR178" s="102"/>
    </row>
    <row r="179" spans="1:44" ht="18.75" customHeight="1" thickBot="1">
      <c r="A179" s="318"/>
      <c r="B179" s="337" t="s">
        <v>6</v>
      </c>
      <c r="C179" s="338"/>
      <c r="D179" s="339"/>
      <c r="E179" s="340" t="str">
        <f>'AM 9 Team Pool - Rnd 1'!$F$266</f>
        <v>fj2magnm2pm</v>
      </c>
      <c r="F179" s="341"/>
      <c r="G179" s="341"/>
      <c r="H179" s="341"/>
      <c r="I179" s="341"/>
      <c r="J179" s="341"/>
      <c r="K179" s="341"/>
      <c r="L179" s="306"/>
      <c r="M179" s="307"/>
      <c r="N179" s="307"/>
      <c r="O179" s="307"/>
      <c r="P179" s="307"/>
      <c r="Q179" s="297"/>
      <c r="R179" s="306"/>
      <c r="S179" s="307"/>
      <c r="T179" s="307"/>
      <c r="U179" s="307"/>
      <c r="V179" s="307"/>
      <c r="W179" s="306"/>
      <c r="X179" s="307"/>
      <c r="Y179" s="307"/>
      <c r="Z179" s="310"/>
      <c r="AA179" s="311"/>
      <c r="AB179" s="311"/>
      <c r="AC179" s="328"/>
      <c r="AD179" s="329"/>
      <c r="AE179" s="330"/>
      <c r="AF179" s="332"/>
      <c r="AG179" s="332"/>
      <c r="AH179" s="335"/>
      <c r="AI179" s="336"/>
      <c r="AJ179" s="99"/>
      <c r="AK179" s="100">
        <v>3</v>
      </c>
      <c r="AL179" s="101" t="s">
        <v>190</v>
      </c>
      <c r="AM179" s="99"/>
      <c r="AN179" s="99"/>
      <c r="AO179" s="99"/>
      <c r="AP179" s="99"/>
      <c r="AQ179" s="99"/>
      <c r="AR179" s="46"/>
    </row>
    <row r="180" spans="1:44" ht="18.75" customHeight="1">
      <c r="A180" s="317" t="str">
        <f>IF($AK179&gt;1,"2","")</f>
        <v>2</v>
      </c>
      <c r="B180" s="319" t="s">
        <v>5</v>
      </c>
      <c r="C180" s="320"/>
      <c r="D180" s="321"/>
      <c r="E180" s="322" t="str">
        <f>'AM 9 Team Pool - Rnd 1'!$M$264</f>
        <v>USA 12 Blue</v>
      </c>
      <c r="F180" s="323"/>
      <c r="G180" s="323"/>
      <c r="H180" s="323"/>
      <c r="I180" s="323"/>
      <c r="J180" s="323"/>
      <c r="K180" s="324"/>
      <c r="L180" s="304">
        <f>IF($AK180=0,AF235,AF217)</f>
        <v>2</v>
      </c>
      <c r="M180" s="305"/>
      <c r="N180" s="305"/>
      <c r="O180" s="305"/>
      <c r="P180" s="305"/>
      <c r="Q180" s="297"/>
      <c r="R180" s="304">
        <f>IF($AK180=0,AG235,AG217)</f>
        <v>2</v>
      </c>
      <c r="S180" s="305"/>
      <c r="T180" s="305"/>
      <c r="U180" s="305"/>
      <c r="V180" s="305"/>
      <c r="W180" s="304">
        <f>AQ195</f>
        <v>0</v>
      </c>
      <c r="X180" s="305"/>
      <c r="Y180" s="305"/>
      <c r="Z180" s="308">
        <f>IF(AF229&gt;0,(AQ195/AF229),0)</f>
        <v>0</v>
      </c>
      <c r="AA180" s="309"/>
      <c r="AB180" s="309"/>
      <c r="AC180" s="325">
        <f>IF(AF243=0,0,(AF235/AF243))</f>
        <v>0.5</v>
      </c>
      <c r="AD180" s="326"/>
      <c r="AE180" s="327"/>
      <c r="AF180" s="331">
        <v>2</v>
      </c>
      <c r="AG180" s="331">
        <v>1</v>
      </c>
      <c r="AH180" s="333"/>
      <c r="AI180" s="334"/>
      <c r="AJ180" s="99"/>
      <c r="AK180" s="100">
        <v>0</v>
      </c>
      <c r="AL180" s="101" t="s">
        <v>24</v>
      </c>
      <c r="AM180" s="101"/>
      <c r="AN180" s="101"/>
      <c r="AO180" s="101"/>
      <c r="AP180" s="101"/>
      <c r="AQ180" s="101"/>
      <c r="AR180" s="102"/>
    </row>
    <row r="181" spans="1:44" ht="18.75" customHeight="1" thickBot="1">
      <c r="A181" s="318"/>
      <c r="B181" s="342" t="s">
        <v>6</v>
      </c>
      <c r="C181" s="343"/>
      <c r="D181" s="343"/>
      <c r="E181" s="340" t="str">
        <f>'AM 9 Team Pool - Rnd 1'!$R$264</f>
        <v>fj2unsel1cr</v>
      </c>
      <c r="F181" s="341"/>
      <c r="G181" s="341"/>
      <c r="H181" s="341"/>
      <c r="I181" s="341"/>
      <c r="J181" s="341"/>
      <c r="K181" s="341"/>
      <c r="L181" s="306"/>
      <c r="M181" s="307"/>
      <c r="N181" s="307"/>
      <c r="O181" s="307"/>
      <c r="P181" s="307"/>
      <c r="Q181" s="297"/>
      <c r="R181" s="306"/>
      <c r="S181" s="307"/>
      <c r="T181" s="307"/>
      <c r="U181" s="307"/>
      <c r="V181" s="307"/>
      <c r="W181" s="306"/>
      <c r="X181" s="307"/>
      <c r="Y181" s="307"/>
      <c r="Z181" s="310"/>
      <c r="AA181" s="311"/>
      <c r="AB181" s="311"/>
      <c r="AC181" s="328"/>
      <c r="AD181" s="329"/>
      <c r="AE181" s="330"/>
      <c r="AF181" s="332"/>
      <c r="AG181" s="332"/>
      <c r="AH181" s="335"/>
      <c r="AI181" s="336"/>
      <c r="AJ181" s="99"/>
      <c r="AK181" s="100">
        <v>1</v>
      </c>
      <c r="AL181" s="101" t="s">
        <v>25</v>
      </c>
      <c r="AM181" s="99"/>
      <c r="AN181" s="99"/>
      <c r="AO181" s="99"/>
      <c r="AP181" s="99"/>
      <c r="AQ181" s="99"/>
      <c r="AR181" s="46"/>
    </row>
    <row r="182" spans="1:44" ht="18.75" customHeight="1">
      <c r="A182" s="317" t="str">
        <f>IF($AK179&gt;2,"3","")</f>
        <v>3</v>
      </c>
      <c r="B182" s="344" t="s">
        <v>5</v>
      </c>
      <c r="C182" s="345"/>
      <c r="D182" s="345"/>
      <c r="E182" s="322" t="str">
        <f>'AM 9 Team Pool - Rnd 1'!$X$265</f>
        <v>Magnum 12 Red</v>
      </c>
      <c r="F182" s="323"/>
      <c r="G182" s="323"/>
      <c r="H182" s="323"/>
      <c r="I182" s="323"/>
      <c r="J182" s="323"/>
      <c r="K182" s="324"/>
      <c r="L182" s="304">
        <f>IF($AK180=0,AF236,AF218)</f>
        <v>1</v>
      </c>
      <c r="M182" s="305"/>
      <c r="N182" s="305"/>
      <c r="O182" s="305"/>
      <c r="P182" s="305"/>
      <c r="Q182" s="297"/>
      <c r="R182" s="304">
        <f>IF($AK180=0,AG236,AG218)</f>
        <v>3</v>
      </c>
      <c r="S182" s="305"/>
      <c r="T182" s="305"/>
      <c r="U182" s="305"/>
      <c r="V182" s="305"/>
      <c r="W182" s="304">
        <f>AQ196</f>
        <v>-17</v>
      </c>
      <c r="X182" s="305"/>
      <c r="Y182" s="305"/>
      <c r="Z182" s="308">
        <f>IF(AF230&gt;0,(AQ196/AF230),0)</f>
        <v>-0.21249999999999999</v>
      </c>
      <c r="AA182" s="309"/>
      <c r="AB182" s="309"/>
      <c r="AC182" s="325">
        <f>IF(AF244=0,0,(AF236/AF244))</f>
        <v>0.25</v>
      </c>
      <c r="AD182" s="326"/>
      <c r="AE182" s="327"/>
      <c r="AF182" s="331">
        <v>3</v>
      </c>
      <c r="AG182" s="331">
        <v>1</v>
      </c>
      <c r="AH182" s="333"/>
      <c r="AI182" s="334"/>
      <c r="AJ182" s="103"/>
      <c r="AK182" s="100">
        <v>4</v>
      </c>
      <c r="AL182" s="152" t="s">
        <v>191</v>
      </c>
      <c r="AM182" s="101"/>
      <c r="AN182" s="101"/>
      <c r="AO182" s="101"/>
      <c r="AP182" s="101"/>
      <c r="AQ182" s="101"/>
      <c r="AR182" s="102"/>
    </row>
    <row r="183" spans="1:44" ht="18.75" customHeight="1" thickBot="1">
      <c r="A183" s="318"/>
      <c r="B183" s="342" t="s">
        <v>6</v>
      </c>
      <c r="C183" s="343"/>
      <c r="D183" s="343"/>
      <c r="E183" s="340" t="str">
        <f>'AM 9 Team Pool - Rnd 1'!$AC$265</f>
        <v>fj2magnm3pm</v>
      </c>
      <c r="F183" s="341"/>
      <c r="G183" s="341"/>
      <c r="H183" s="341"/>
      <c r="I183" s="341"/>
      <c r="J183" s="341"/>
      <c r="K183" s="341"/>
      <c r="L183" s="306"/>
      <c r="M183" s="307"/>
      <c r="N183" s="307"/>
      <c r="O183" s="307"/>
      <c r="P183" s="307"/>
      <c r="Q183" s="297"/>
      <c r="R183" s="306"/>
      <c r="S183" s="307"/>
      <c r="T183" s="307"/>
      <c r="U183" s="307"/>
      <c r="V183" s="307"/>
      <c r="W183" s="306"/>
      <c r="X183" s="307"/>
      <c r="Y183" s="307"/>
      <c r="Z183" s="310"/>
      <c r="AA183" s="311"/>
      <c r="AB183" s="311"/>
      <c r="AC183" s="328"/>
      <c r="AD183" s="329"/>
      <c r="AE183" s="330"/>
      <c r="AF183" s="332"/>
      <c r="AG183" s="332"/>
      <c r="AH183" s="335"/>
      <c r="AI183" s="336"/>
      <c r="AJ183" s="103"/>
      <c r="AK183" s="153"/>
      <c r="AL183" s="154"/>
      <c r="AM183" s="154"/>
      <c r="AN183" s="154"/>
      <c r="AO183" s="154"/>
      <c r="AP183" s="154"/>
      <c r="AQ183" s="99"/>
      <c r="AR183" s="46"/>
    </row>
    <row r="184" spans="1:44" ht="18.75" hidden="1" customHeight="1">
      <c r="A184" s="317" t="str">
        <f>IF($AK179&gt;3,"4","")</f>
        <v/>
      </c>
      <c r="B184" s="344" t="s">
        <v>5</v>
      </c>
      <c r="C184" s="345"/>
      <c r="D184" s="345"/>
      <c r="E184" s="322" t="str">
        <f>AU12</f>
        <v>Team 10</v>
      </c>
      <c r="F184" s="323"/>
      <c r="G184" s="323"/>
      <c r="H184" s="323"/>
      <c r="I184" s="323"/>
      <c r="J184" s="323"/>
      <c r="K184" s="324"/>
      <c r="L184" s="304">
        <f>IF($AK180=0,AF237,AF219)</f>
        <v>0</v>
      </c>
      <c r="M184" s="305"/>
      <c r="N184" s="305"/>
      <c r="O184" s="305"/>
      <c r="P184" s="305"/>
      <c r="Q184" s="297"/>
      <c r="R184" s="304">
        <f>IF($AK180=0,AG237,AG219)</f>
        <v>0</v>
      </c>
      <c r="S184" s="305"/>
      <c r="T184" s="305"/>
      <c r="U184" s="305"/>
      <c r="V184" s="305"/>
      <c r="W184" s="304">
        <f>AQ197</f>
        <v>0</v>
      </c>
      <c r="X184" s="305"/>
      <c r="Y184" s="305"/>
      <c r="Z184" s="308">
        <f>IF(AF231&gt;0,(AQ197/AF231),0)</f>
        <v>0</v>
      </c>
      <c r="AA184" s="309"/>
      <c r="AB184" s="309"/>
      <c r="AC184" s="325">
        <f>IF(AF245=0,0,(AF237/AF245))</f>
        <v>0</v>
      </c>
      <c r="AD184" s="326"/>
      <c r="AE184" s="327"/>
      <c r="AF184" s="331"/>
      <c r="AG184" s="331"/>
      <c r="AH184" s="333"/>
      <c r="AI184" s="334"/>
      <c r="AJ184" s="1"/>
      <c r="AK184" s="154"/>
      <c r="AL184" s="154"/>
      <c r="AM184" s="154"/>
      <c r="AN184" s="154"/>
      <c r="AO184" s="154"/>
      <c r="AP184" s="154"/>
      <c r="AQ184" s="101"/>
      <c r="AR184" s="102"/>
    </row>
    <row r="185" spans="1:44" ht="18.75" hidden="1" customHeight="1" thickBot="1">
      <c r="A185" s="318"/>
      <c r="B185" s="342" t="s">
        <v>6</v>
      </c>
      <c r="C185" s="343"/>
      <c r="D185" s="343"/>
      <c r="E185" s="340" t="str">
        <f>AV12</f>
        <v>Code 10</v>
      </c>
      <c r="F185" s="341"/>
      <c r="G185" s="341"/>
      <c r="H185" s="341"/>
      <c r="I185" s="341"/>
      <c r="J185" s="341"/>
      <c r="K185" s="341"/>
      <c r="L185" s="306"/>
      <c r="M185" s="307"/>
      <c r="N185" s="307"/>
      <c r="O185" s="307"/>
      <c r="P185" s="307"/>
      <c r="Q185" s="297"/>
      <c r="R185" s="306"/>
      <c r="S185" s="307"/>
      <c r="T185" s="307"/>
      <c r="U185" s="307"/>
      <c r="V185" s="307"/>
      <c r="W185" s="306"/>
      <c r="X185" s="307"/>
      <c r="Y185" s="307"/>
      <c r="Z185" s="310"/>
      <c r="AA185" s="311"/>
      <c r="AB185" s="311"/>
      <c r="AC185" s="328"/>
      <c r="AD185" s="329"/>
      <c r="AE185" s="330"/>
      <c r="AF185" s="332"/>
      <c r="AG185" s="332"/>
      <c r="AH185" s="335"/>
      <c r="AI185" s="336"/>
      <c r="AJ185" s="1"/>
      <c r="AK185" s="154"/>
      <c r="AL185" s="154"/>
      <c r="AM185" s="154"/>
      <c r="AN185" s="154"/>
      <c r="AO185" s="154"/>
      <c r="AP185" s="154"/>
      <c r="AQ185" s="1"/>
      <c r="AR185" s="46"/>
    </row>
    <row r="186" spans="1:44" ht="18.75" hidden="1" customHeight="1">
      <c r="A186" s="317" t="str">
        <f>IF($AK179&gt;4,"5","")</f>
        <v/>
      </c>
      <c r="B186" s="344" t="s">
        <v>5</v>
      </c>
      <c r="C186" s="345"/>
      <c r="D186" s="345"/>
      <c r="E186" s="346">
        <f>AU17</f>
        <v>0</v>
      </c>
      <c r="F186" s="347"/>
      <c r="G186" s="347"/>
      <c r="H186" s="347"/>
      <c r="I186" s="347"/>
      <c r="J186" s="347"/>
      <c r="K186" s="348"/>
      <c r="L186" s="304">
        <f>IF($AK180=0,AF238,AF220)</f>
        <v>0</v>
      </c>
      <c r="M186" s="305"/>
      <c r="N186" s="305"/>
      <c r="O186" s="305"/>
      <c r="P186" s="305"/>
      <c r="Q186" s="297"/>
      <c r="R186" s="304">
        <f>IF($AK180=0,AG238,AG220)</f>
        <v>0</v>
      </c>
      <c r="S186" s="305"/>
      <c r="T186" s="305"/>
      <c r="U186" s="305"/>
      <c r="V186" s="305"/>
      <c r="W186" s="304">
        <f>AQ198</f>
        <v>0</v>
      </c>
      <c r="X186" s="305"/>
      <c r="Y186" s="305"/>
      <c r="Z186" s="308">
        <f>IF(AF232&gt;0,(AQ198/AF232),0)</f>
        <v>0</v>
      </c>
      <c r="AA186" s="309"/>
      <c r="AB186" s="309"/>
      <c r="AC186" s="325">
        <f>IF(AF246=0,0,(AF238/AF246))</f>
        <v>0</v>
      </c>
      <c r="AD186" s="326"/>
      <c r="AE186" s="327"/>
      <c r="AF186" s="331"/>
      <c r="AG186" s="331"/>
      <c r="AH186" s="333"/>
      <c r="AI186" s="334"/>
      <c r="AJ186" s="1"/>
      <c r="AK186" s="154"/>
      <c r="AL186" s="154"/>
      <c r="AM186" s="154"/>
      <c r="AN186" s="154"/>
      <c r="AO186" s="154"/>
      <c r="AP186" s="154"/>
      <c r="AQ186" s="1"/>
      <c r="AR186" s="46"/>
    </row>
    <row r="187" spans="1:44" ht="18.75" hidden="1" customHeight="1" thickBot="1">
      <c r="A187" s="318"/>
      <c r="B187" s="359" t="s">
        <v>6</v>
      </c>
      <c r="C187" s="360"/>
      <c r="D187" s="360"/>
      <c r="E187" s="361">
        <f>AV17</f>
        <v>0</v>
      </c>
      <c r="F187" s="362"/>
      <c r="G187" s="362"/>
      <c r="H187" s="362"/>
      <c r="I187" s="362"/>
      <c r="J187" s="362"/>
      <c r="K187" s="362"/>
      <c r="L187" s="349"/>
      <c r="M187" s="350"/>
      <c r="N187" s="350"/>
      <c r="O187" s="350"/>
      <c r="P187" s="350"/>
      <c r="Q187" s="298"/>
      <c r="R187" s="349"/>
      <c r="S187" s="350"/>
      <c r="T187" s="350"/>
      <c r="U187" s="350"/>
      <c r="V187" s="350"/>
      <c r="W187" s="349"/>
      <c r="X187" s="350"/>
      <c r="Y187" s="350"/>
      <c r="Z187" s="351"/>
      <c r="AA187" s="352"/>
      <c r="AB187" s="352"/>
      <c r="AC187" s="353"/>
      <c r="AD187" s="354"/>
      <c r="AE187" s="355"/>
      <c r="AF187" s="356"/>
      <c r="AG187" s="356"/>
      <c r="AH187" s="357"/>
      <c r="AI187" s="358"/>
      <c r="AJ187" s="1"/>
      <c r="AK187" s="154"/>
      <c r="AL187" s="154"/>
      <c r="AM187" s="154"/>
      <c r="AN187" s="154"/>
      <c r="AO187" s="154"/>
      <c r="AP187" s="154"/>
      <c r="AQ187" s="1"/>
      <c r="AR187" s="46"/>
    </row>
    <row r="188" spans="1:44" ht="21" customHeight="1" thickTop="1" thickBot="1">
      <c r="A188" s="106"/>
      <c r="B188" s="363" t="s">
        <v>198</v>
      </c>
      <c r="C188" s="364"/>
      <c r="D188" s="364"/>
      <c r="E188" s="364"/>
      <c r="F188" s="364"/>
      <c r="G188" s="364"/>
      <c r="H188" s="364"/>
      <c r="I188" s="364"/>
      <c r="J188" s="364"/>
      <c r="K188" s="364"/>
      <c r="L188" s="364"/>
      <c r="M188" s="364"/>
      <c r="N188" s="364"/>
      <c r="O188" s="364"/>
      <c r="P188" s="364"/>
      <c r="Q188" s="364"/>
      <c r="R188" s="364"/>
      <c r="S188" s="364"/>
      <c r="T188" s="364"/>
      <c r="U188" s="364"/>
      <c r="V188" s="364"/>
      <c r="W188" s="364"/>
      <c r="X188" s="364"/>
      <c r="Y188" s="364"/>
      <c r="Z188" s="364"/>
      <c r="AA188" s="364"/>
      <c r="AB188" s="364"/>
      <c r="AC188" s="364"/>
      <c r="AD188" s="364"/>
      <c r="AE188" s="364"/>
      <c r="AF188" s="364"/>
      <c r="AG188" s="364"/>
      <c r="AH188" s="364"/>
      <c r="AI188" s="365"/>
      <c r="AJ188" s="1"/>
      <c r="AK188" s="154"/>
      <c r="AL188" s="154"/>
      <c r="AM188" s="154"/>
      <c r="AN188" s="154"/>
      <c r="AO188" s="154"/>
      <c r="AP188" s="154"/>
      <c r="AQ188" s="1"/>
      <c r="AR188" s="46"/>
    </row>
    <row r="189" spans="1:44" ht="13.5" thickTop="1">
      <c r="A189" s="3" t="s">
        <v>27</v>
      </c>
      <c r="B189" s="372">
        <v>0.42708333333333331</v>
      </c>
      <c r="C189" s="373"/>
      <c r="D189" s="374"/>
      <c r="E189" s="372">
        <v>0.44791666666666669</v>
      </c>
      <c r="F189" s="373"/>
      <c r="G189" s="374"/>
      <c r="H189" s="372">
        <v>0.46875</v>
      </c>
      <c r="I189" s="373"/>
      <c r="J189" s="374"/>
      <c r="K189" s="372">
        <v>0.47916666666666669</v>
      </c>
      <c r="L189" s="373"/>
      <c r="M189" s="374"/>
      <c r="N189" s="372">
        <v>0.52083333333333337</v>
      </c>
      <c r="O189" s="373"/>
      <c r="P189" s="374"/>
      <c r="Q189" s="372">
        <v>6.25E-2</v>
      </c>
      <c r="R189" s="373"/>
      <c r="S189" s="374"/>
      <c r="T189" s="372">
        <v>4.1666666666666664E-2</v>
      </c>
      <c r="U189" s="373"/>
      <c r="V189" s="374"/>
      <c r="W189" s="372">
        <v>7.2916666666666671E-2</v>
      </c>
      <c r="X189" s="373"/>
      <c r="Y189" s="374"/>
      <c r="Z189" s="372">
        <v>0.10416666666666667</v>
      </c>
      <c r="AA189" s="373"/>
      <c r="AB189" s="374"/>
      <c r="AC189" s="372">
        <v>0.13541666666666666</v>
      </c>
      <c r="AD189" s="373"/>
      <c r="AE189" s="374"/>
      <c r="AF189" s="375" t="s">
        <v>199</v>
      </c>
      <c r="AG189" s="376"/>
      <c r="AH189" s="376"/>
      <c r="AI189" s="376"/>
      <c r="AJ189" s="377"/>
      <c r="AK189" s="377"/>
      <c r="AL189" s="377"/>
      <c r="AM189" s="377"/>
      <c r="AN189" s="377"/>
      <c r="AO189" s="377"/>
      <c r="AP189" s="377"/>
      <c r="AQ189" s="378"/>
    </row>
    <row r="190" spans="1:44">
      <c r="A190" s="107" t="s">
        <v>28</v>
      </c>
      <c r="B190" s="383"/>
      <c r="C190" s="384"/>
      <c r="D190" s="385"/>
      <c r="E190" s="383"/>
      <c r="F190" s="384"/>
      <c r="G190" s="385"/>
      <c r="H190" s="383"/>
      <c r="I190" s="384"/>
      <c r="J190" s="385"/>
      <c r="K190" s="383"/>
      <c r="L190" s="384"/>
      <c r="M190" s="385"/>
      <c r="N190" s="383"/>
      <c r="O190" s="384"/>
      <c r="P190" s="385"/>
      <c r="Q190" s="383"/>
      <c r="R190" s="384"/>
      <c r="S190" s="385"/>
      <c r="T190" s="383"/>
      <c r="U190" s="384"/>
      <c r="V190" s="385"/>
      <c r="W190" s="383"/>
      <c r="X190" s="384"/>
      <c r="Y190" s="385"/>
      <c r="Z190" s="383"/>
      <c r="AA190" s="384"/>
      <c r="AB190" s="385"/>
      <c r="AC190" s="383"/>
      <c r="AD190" s="384"/>
      <c r="AE190" s="385"/>
      <c r="AF190" s="375"/>
      <c r="AG190" s="376"/>
      <c r="AH190" s="376"/>
      <c r="AI190" s="376"/>
      <c r="AJ190" s="376"/>
      <c r="AK190" s="376"/>
      <c r="AL190" s="376"/>
      <c r="AM190" s="376"/>
      <c r="AN190" s="376"/>
      <c r="AO190" s="376"/>
      <c r="AP190" s="376"/>
      <c r="AQ190" s="379"/>
    </row>
    <row r="191" spans="1:44">
      <c r="A191" s="107" t="s">
        <v>29</v>
      </c>
      <c r="B191" s="383"/>
      <c r="C191" s="384"/>
      <c r="D191" s="385"/>
      <c r="E191" s="383"/>
      <c r="F191" s="384"/>
      <c r="G191" s="385"/>
      <c r="H191" s="383"/>
      <c r="I191" s="384"/>
      <c r="J191" s="385"/>
      <c r="K191" s="383"/>
      <c r="L191" s="384"/>
      <c r="M191" s="385"/>
      <c r="N191" s="383"/>
      <c r="O191" s="384"/>
      <c r="P191" s="385"/>
      <c r="Q191" s="383"/>
      <c r="R191" s="384"/>
      <c r="S191" s="385"/>
      <c r="T191" s="383"/>
      <c r="U191" s="384"/>
      <c r="V191" s="385"/>
      <c r="W191" s="383"/>
      <c r="X191" s="384"/>
      <c r="Y191" s="385"/>
      <c r="Z191" s="383"/>
      <c r="AA191" s="384"/>
      <c r="AB191" s="385"/>
      <c r="AC191" s="383"/>
      <c r="AD191" s="384"/>
      <c r="AE191" s="385"/>
      <c r="AF191" s="375"/>
      <c r="AG191" s="376"/>
      <c r="AH191" s="376"/>
      <c r="AI191" s="376"/>
      <c r="AJ191" s="376"/>
      <c r="AK191" s="376"/>
      <c r="AL191" s="376"/>
      <c r="AM191" s="376"/>
      <c r="AN191" s="376"/>
      <c r="AO191" s="376"/>
      <c r="AP191" s="376"/>
      <c r="AQ191" s="379"/>
    </row>
    <row r="192" spans="1:44" ht="13.5" thickBot="1">
      <c r="A192" s="1"/>
      <c r="B192" s="386" t="s">
        <v>30</v>
      </c>
      <c r="C192" s="387"/>
      <c r="D192" s="388"/>
      <c r="E192" s="386" t="str">
        <f>IF(AK178&gt;1,"Match 2","")</f>
        <v>Match 2</v>
      </c>
      <c r="F192" s="387"/>
      <c r="G192" s="388"/>
      <c r="H192" s="386" t="str">
        <f>IF(AK178&gt;2,"Match 3","")</f>
        <v>Match 3</v>
      </c>
      <c r="I192" s="387"/>
      <c r="J192" s="388"/>
      <c r="K192" s="386" t="str">
        <f>IF(AK178&gt;3,"Match 4","")</f>
        <v/>
      </c>
      <c r="L192" s="387"/>
      <c r="M192" s="388"/>
      <c r="N192" s="386" t="str">
        <f>IF(AK178&gt;4,"Match 5","")</f>
        <v/>
      </c>
      <c r="O192" s="387"/>
      <c r="P192" s="388"/>
      <c r="Q192" s="386" t="str">
        <f>IF(AK178&gt;5,"Match 6","")</f>
        <v/>
      </c>
      <c r="R192" s="387"/>
      <c r="S192" s="388"/>
      <c r="T192" s="386" t="str">
        <f>IF(AK178&gt;6,"Match 7","")</f>
        <v/>
      </c>
      <c r="U192" s="387"/>
      <c r="V192" s="388"/>
      <c r="W192" s="386" t="str">
        <f>IF(AK178&gt;7,"Match 8","")</f>
        <v/>
      </c>
      <c r="X192" s="387"/>
      <c r="Y192" s="388"/>
      <c r="Z192" s="386" t="str">
        <f>IF(AK178&gt;8,"Match 9","")</f>
        <v/>
      </c>
      <c r="AA192" s="387"/>
      <c r="AB192" s="388"/>
      <c r="AC192" s="386" t="str">
        <f>IF(AK178&gt;9,"Match 10","")</f>
        <v/>
      </c>
      <c r="AD192" s="387"/>
      <c r="AE192" s="388"/>
      <c r="AF192" s="380"/>
      <c r="AG192" s="381"/>
      <c r="AH192" s="381"/>
      <c r="AI192" s="381"/>
      <c r="AJ192" s="381"/>
      <c r="AK192" s="381"/>
      <c r="AL192" s="381"/>
      <c r="AM192" s="381"/>
      <c r="AN192" s="381"/>
      <c r="AO192" s="381"/>
      <c r="AP192" s="381"/>
      <c r="AQ192" s="382"/>
    </row>
    <row r="193" spans="1:51" ht="15.75">
      <c r="A193" s="1"/>
      <c r="B193" s="389" t="s">
        <v>33</v>
      </c>
      <c r="C193" s="390"/>
      <c r="D193" s="391"/>
      <c r="E193" s="389" t="s">
        <v>31</v>
      </c>
      <c r="F193" s="390"/>
      <c r="G193" s="391"/>
      <c r="H193" s="389" t="s">
        <v>32</v>
      </c>
      <c r="I193" s="390"/>
      <c r="J193" s="391"/>
      <c r="K193" s="389"/>
      <c r="L193" s="390"/>
      <c r="M193" s="391"/>
      <c r="N193" s="389"/>
      <c r="O193" s="390"/>
      <c r="P193" s="391"/>
      <c r="Q193" s="389"/>
      <c r="R193" s="390"/>
      <c r="S193" s="391"/>
      <c r="T193" s="389"/>
      <c r="U193" s="390"/>
      <c r="V193" s="391"/>
      <c r="W193" s="389"/>
      <c r="X193" s="390"/>
      <c r="Y193" s="391"/>
      <c r="Z193" s="389"/>
      <c r="AA193" s="390"/>
      <c r="AB193" s="391"/>
      <c r="AC193" s="389"/>
      <c r="AD193" s="390"/>
      <c r="AE193" s="391"/>
      <c r="AF193" s="160" t="s">
        <v>34</v>
      </c>
      <c r="AG193" s="108">
        <v>1</v>
      </c>
      <c r="AH193" s="108">
        <v>2</v>
      </c>
      <c r="AI193" s="108">
        <v>3</v>
      </c>
      <c r="AJ193" s="108">
        <v>4</v>
      </c>
      <c r="AK193" s="108">
        <v>5</v>
      </c>
      <c r="AL193" s="108">
        <v>6</v>
      </c>
      <c r="AM193" s="108">
        <v>7</v>
      </c>
      <c r="AN193" s="108">
        <v>8</v>
      </c>
      <c r="AO193" s="108">
        <v>9</v>
      </c>
      <c r="AP193" s="108">
        <v>10</v>
      </c>
      <c r="AQ193" s="161" t="s">
        <v>200</v>
      </c>
    </row>
    <row r="194" spans="1:51" ht="15.75">
      <c r="A194" s="1"/>
      <c r="B194" s="109">
        <v>1</v>
      </c>
      <c r="C194" s="110" t="s">
        <v>35</v>
      </c>
      <c r="D194" s="111">
        <v>2</v>
      </c>
      <c r="E194" s="109">
        <v>2</v>
      </c>
      <c r="F194" s="110" t="str">
        <f>IF(AK178&gt;1,"v","")</f>
        <v>v</v>
      </c>
      <c r="G194" s="111">
        <v>3</v>
      </c>
      <c r="H194" s="109">
        <v>1</v>
      </c>
      <c r="I194" s="110" t="str">
        <f>IF(AK178&gt;2,"v","")</f>
        <v>v</v>
      </c>
      <c r="J194" s="111">
        <v>3</v>
      </c>
      <c r="K194" s="109"/>
      <c r="L194" s="110" t="str">
        <f>IF(AK178&gt;3,"v","")</f>
        <v/>
      </c>
      <c r="M194" s="111"/>
      <c r="N194" s="109"/>
      <c r="O194" s="110" t="str">
        <f>IF(AK178&gt;4,"v","")</f>
        <v/>
      </c>
      <c r="P194" s="111"/>
      <c r="Q194" s="109"/>
      <c r="R194" s="110" t="str">
        <f>IF(AK178&gt;5,"v","")</f>
        <v/>
      </c>
      <c r="S194" s="111"/>
      <c r="T194" s="109"/>
      <c r="U194" s="110" t="str">
        <f>IF(AK178&gt;6,"v","")</f>
        <v/>
      </c>
      <c r="V194" s="111"/>
      <c r="W194" s="109"/>
      <c r="X194" s="110" t="str">
        <f>IF(AK178&gt;7,"v","")</f>
        <v/>
      </c>
      <c r="Y194" s="111"/>
      <c r="Z194" s="109"/>
      <c r="AA194" s="110" t="str">
        <f>IF(AK178&gt;8,"v","")</f>
        <v/>
      </c>
      <c r="AB194" s="111"/>
      <c r="AC194" s="109"/>
      <c r="AD194" s="110" t="str">
        <f>IF(AK178&gt;9,"v","")</f>
        <v/>
      </c>
      <c r="AE194" s="111"/>
      <c r="AF194" s="160" t="str">
        <f>IF(AK179&gt;0,"Team 1","")</f>
        <v>Team 1</v>
      </c>
      <c r="AG194" s="162">
        <f>IF(AK179&lt;1,"",IF(AK178&lt;1,"",IF(B194=1,B200-D200,IF(D194=1,D200-B200,""))))</f>
        <v>7</v>
      </c>
      <c r="AH194" s="162" t="str">
        <f>IF(AK179&lt;1,"",IF(AK178&lt;2,"",IF(E194=1,E200-G200,IF(G194=1,G200-E200,""))))</f>
        <v/>
      </c>
      <c r="AI194" s="162">
        <f>IF(AK179&lt;1,"",IF(AK178&lt;3,"",IF(H194=1,H200-J200,IF(J194=1,J200-H200,""))))</f>
        <v>10</v>
      </c>
      <c r="AJ194" s="162" t="str">
        <f>IF(AK179&lt;1,"",IF(AK178&lt;4,"",IF(K194=1,K200-M200,IF(M194=1,M200-K200,""))))</f>
        <v/>
      </c>
      <c r="AK194" s="162" t="str">
        <f>IF(AK179&lt;1,"",IF(AK178&lt;5,"",IF(N194=1,N200-P200,IF(P194=1,P200-N200,""))))</f>
        <v/>
      </c>
      <c r="AL194" s="162" t="str">
        <f>IF(AK179&lt;1,"",IF(AK178&lt;6,"",IF(Q194=1,Q200-S200,IF(S194=1,S200-Q200,""))))</f>
        <v/>
      </c>
      <c r="AM194" s="162" t="str">
        <f>IF(AK179&lt;1,"",IF(AK178&lt;7,"",IF(T194=1,T200-V200,IF(V194=1,V200-T200,""))))</f>
        <v/>
      </c>
      <c r="AN194" s="162" t="str">
        <f>IF(AK179&lt;1,"",IF(AK178&lt;8,"",IF(W194=1,W200-Y200,IF(Y194=1,Y200-W200,""))))</f>
        <v/>
      </c>
      <c r="AO194" s="162" t="str">
        <f>IF(AK179&lt;1,"",IF(AK178&lt;9,"",IF(Z194=1,Z200-AB200,IF(AB194=1,AB200-Z200,""))))</f>
        <v/>
      </c>
      <c r="AP194" s="162" t="str">
        <f>IF(AK179&lt;1,"",IF(AK178&lt;10,"",IF(AC194=1,AC200-AE200,IF(AE194=1,AE200-AC200,""))))</f>
        <v/>
      </c>
      <c r="AQ194" s="161">
        <f>SUM(AG194:AP194)</f>
        <v>17</v>
      </c>
    </row>
    <row r="195" spans="1:51" ht="15">
      <c r="A195" s="3" t="s">
        <v>36</v>
      </c>
      <c r="B195" s="112">
        <v>21</v>
      </c>
      <c r="C195" s="113" t="s">
        <v>37</v>
      </c>
      <c r="D195" s="114">
        <v>10</v>
      </c>
      <c r="E195" s="112">
        <v>23</v>
      </c>
      <c r="F195" s="113" t="str">
        <f>IF(AK178&gt;1,"/","")</f>
        <v>/</v>
      </c>
      <c r="G195" s="114">
        <v>12</v>
      </c>
      <c r="H195" s="112">
        <v>21</v>
      </c>
      <c r="I195" s="113" t="str">
        <f>IF(AK178&gt;2,"/","")</f>
        <v>/</v>
      </c>
      <c r="J195" s="114">
        <v>12</v>
      </c>
      <c r="K195" s="112"/>
      <c r="L195" s="113" t="str">
        <f>IF(AK178&gt;3,"/","")</f>
        <v/>
      </c>
      <c r="M195" s="114"/>
      <c r="N195" s="112"/>
      <c r="O195" s="113" t="str">
        <f>IF(AK178&gt;4,"/","")</f>
        <v/>
      </c>
      <c r="P195" s="114"/>
      <c r="Q195" s="112"/>
      <c r="R195" s="113" t="str">
        <f>IF(AK178&gt;5,"/","")</f>
        <v/>
      </c>
      <c r="S195" s="114"/>
      <c r="T195" s="112"/>
      <c r="U195" s="113" t="str">
        <f>IF(AK178&gt;6,"/","")</f>
        <v/>
      </c>
      <c r="V195" s="114"/>
      <c r="W195" s="112"/>
      <c r="X195" s="113" t="str">
        <f>IF(AK178&gt;7,"/","")</f>
        <v/>
      </c>
      <c r="Y195" s="114"/>
      <c r="Z195" s="112"/>
      <c r="AA195" s="113" t="str">
        <f>IF(AK178&gt;8,"/","")</f>
        <v/>
      </c>
      <c r="AB195" s="114"/>
      <c r="AC195" s="112"/>
      <c r="AD195" s="113" t="str">
        <f>IF(AK178&gt;9,"/","")</f>
        <v/>
      </c>
      <c r="AE195" s="114"/>
      <c r="AF195" s="160" t="str">
        <f>IF(AK179&gt;1,"Team 2","")</f>
        <v>Team 2</v>
      </c>
      <c r="AG195" s="162">
        <f>IF(AK179&lt;2,"",IF(AK178&lt;1,"",IF(B194=2,B200-D200,IF(D194=2,D200-B200,""))))</f>
        <v>-7</v>
      </c>
      <c r="AH195" s="162">
        <f>IF(AK179&lt;2,"",IF(AK178&lt;2,"",IF(E194=2,E200-G200,IF(G194=2,G200-E200,""))))</f>
        <v>7</v>
      </c>
      <c r="AI195" s="162" t="str">
        <f>IF(AK179&lt;2,"",IF(AK178&lt;3,"",IF(H194=2,H200-J200,IF(J194=2,J200-H200,""))))</f>
        <v/>
      </c>
      <c r="AJ195" s="162" t="str">
        <f>IF(AK179&lt;2,"",IF(AK178&lt;4,"",IF(K194=2,K200-M200,IF(M194=2,M200-K200,""))))</f>
        <v/>
      </c>
      <c r="AK195" s="162" t="str">
        <f>IF(AK179&lt;2,"",IF(AK178&lt;5,"",IF(N194=2,N200-P200,IF(P194=2,P200-N200,""))))</f>
        <v/>
      </c>
      <c r="AL195" s="162" t="str">
        <f>IF(AK179&lt;2,"",IF(AK178&lt;6,"",IF(Q194=2,Q200-S200,IF(S194=2,S200-Q200,""))))</f>
        <v/>
      </c>
      <c r="AM195" s="162" t="str">
        <f>IF(AK179&lt;2,"",IF(AK178&lt;7,"",IF(T194=2,T200-V200,IF(V194=2,V200-T200,""))))</f>
        <v/>
      </c>
      <c r="AN195" s="162" t="str">
        <f>IF(AK179&lt;2,"",IF(AK178&lt;8,"",IF(W194=2,W200-Y200,IF(Y194=2,Y200-W200,""))))</f>
        <v/>
      </c>
      <c r="AO195" s="162" t="str">
        <f>IF(AK179&lt;2,"",IF(AK178&lt;9,"",IF(Z194=2,Z200-AB200,IF(AB194=2,AB200-Z200,""))))</f>
        <v/>
      </c>
      <c r="AP195" s="162" t="str">
        <f>IF(AK179&lt;2,"",IF(AK178&lt;10,"",IF(AC194=2,AC200-AE200,IF(AE194=2,AE200-AC200,""))))</f>
        <v/>
      </c>
      <c r="AQ195" s="161">
        <f>SUM(AG195:AP195)</f>
        <v>0</v>
      </c>
    </row>
    <row r="196" spans="1:51" ht="15">
      <c r="A196" s="46" t="str">
        <f>IF(AK177&gt;1,"Game 2","")</f>
        <v>Game 2</v>
      </c>
      <c r="B196" s="112">
        <v>14</v>
      </c>
      <c r="C196" s="113" t="s">
        <v>37</v>
      </c>
      <c r="D196" s="114">
        <v>18</v>
      </c>
      <c r="E196" s="112">
        <v>14</v>
      </c>
      <c r="F196" s="113" t="str">
        <f>IF(AK178&gt;1,IF(AK177&gt;1,"/",""),"")</f>
        <v>/</v>
      </c>
      <c r="G196" s="114">
        <v>18</v>
      </c>
      <c r="H196" s="112">
        <v>18</v>
      </c>
      <c r="I196" s="113" t="str">
        <f>IF(AK178&gt;2,IF(AK177&gt;1,"/",""),"")</f>
        <v>/</v>
      </c>
      <c r="J196" s="114">
        <v>17</v>
      </c>
      <c r="K196" s="112"/>
      <c r="L196" s="113" t="str">
        <f>IF(AK178&gt;3,IF(AK177&gt;1,"/",""),"")</f>
        <v/>
      </c>
      <c r="M196" s="114"/>
      <c r="N196" s="112"/>
      <c r="O196" s="113" t="str">
        <f>IF(AK178&gt;4,IF(AK177&gt;1,"/",""),"")</f>
        <v/>
      </c>
      <c r="P196" s="114"/>
      <c r="Q196" s="112"/>
      <c r="R196" s="113" t="str">
        <f>IF(AK178&gt;5,IF(AK177&gt;1,"/",""),"")</f>
        <v/>
      </c>
      <c r="S196" s="114"/>
      <c r="T196" s="112"/>
      <c r="U196" s="113" t="str">
        <f>IF(AK178&gt;6,IF(AK177&gt;1,"/",""),"")</f>
        <v/>
      </c>
      <c r="V196" s="114"/>
      <c r="W196" s="112"/>
      <c r="X196" s="113" t="str">
        <f>IF(AK178&gt;7,IF(AK177&gt;1,"/",""),"")</f>
        <v/>
      </c>
      <c r="Y196" s="114"/>
      <c r="Z196" s="112"/>
      <c r="AA196" s="113" t="str">
        <f>IF(AK178&gt;8,IF(AK177&gt;1,"/",""),"")</f>
        <v/>
      </c>
      <c r="AB196" s="114"/>
      <c r="AC196" s="112"/>
      <c r="AD196" s="113" t="str">
        <f>IF(AK178&gt;9,IF(AK177&gt;1,"/",""),"")</f>
        <v/>
      </c>
      <c r="AE196" s="114"/>
      <c r="AF196" s="160" t="str">
        <f>IF(AK179&gt;2,"Team 3","")</f>
        <v>Team 3</v>
      </c>
      <c r="AG196" s="162" t="str">
        <f>IF(AK179&lt;3,"",IF(AK178&lt;1,"",IF(B194=3,B200-D200,IF(D194=3,D200-B200,""))))</f>
        <v/>
      </c>
      <c r="AH196" s="162">
        <f>IF(AK179&lt;3,"",IF(AK178&lt;2,"",IF(E194=3,E200-G200,IF(G194=3,G200-E200,""))))</f>
        <v>-7</v>
      </c>
      <c r="AI196" s="162">
        <f>IF(AK179&lt;3,"",IF(AK178&lt;3,"",IF(H194=3,H200-J200,IF(J194=3,J200-H200,""))))</f>
        <v>-10</v>
      </c>
      <c r="AJ196" s="162" t="str">
        <f>IF(AK179&lt;3,"",IF(AK178&lt;4,"",IF(K194=3,K200-M200,IF(M194=3,M200-K200,""))))</f>
        <v/>
      </c>
      <c r="AK196" s="162" t="str">
        <f>IF(AK179&lt;3,"",IF(AK178&lt;5,"",IF(N194=3,N200-P200,IF(P194=3,P200-N200,""))))</f>
        <v/>
      </c>
      <c r="AL196" s="162" t="str">
        <f>IF(AK179&lt;3,"",IF(AK178&lt;6,"",IF(Q194=3,Q200-S200,IF(S194=3,S200-Q200,""))))</f>
        <v/>
      </c>
      <c r="AM196" s="162" t="str">
        <f>IF(AK179&lt;3,"",IF(AK178&lt;7,"",IF(T194=3,T200-V200,IF(V194=3,V200-T200,""))))</f>
        <v/>
      </c>
      <c r="AN196" s="162" t="str">
        <f>IF(AK179&lt;3,"",IF(AK178&lt;8,"",IF(W194=3,W200-Y200,IF(Y194=3,Y200-W200,""))))</f>
        <v/>
      </c>
      <c r="AO196" s="162" t="str">
        <f>IF(AK179&lt;3,"",IF(AK178&lt;9,"",IF(Z194=3,Z200-AB200,IF(AB194=3,AB200-Z200,""))))</f>
        <v/>
      </c>
      <c r="AP196" s="162" t="str">
        <f>IF(AK179&lt;3,"",IF(AK178&lt;9,"",IF(AC194=3,AC200-AE200,IF(AE194=3,AE200-AC200,""))))</f>
        <v/>
      </c>
      <c r="AQ196" s="161">
        <f>SUM(AG196:AP196)</f>
        <v>-17</v>
      </c>
    </row>
    <row r="197" spans="1:51" ht="15" hidden="1">
      <c r="A197" s="46" t="str">
        <f>IF(AK177&gt;2,"Game 3","")</f>
        <v/>
      </c>
      <c r="B197" s="112"/>
      <c r="C197" s="113" t="s">
        <v>37</v>
      </c>
      <c r="D197" s="114"/>
      <c r="E197" s="112"/>
      <c r="F197" s="113" t="str">
        <f>IF(AK178&gt;1,IF(AK177&gt;2,"/",""),"")</f>
        <v/>
      </c>
      <c r="G197" s="114"/>
      <c r="H197" s="112"/>
      <c r="I197" s="113" t="str">
        <f>IF(AK178&gt;2,IF(AK177&gt;2,"/",""),"")</f>
        <v/>
      </c>
      <c r="J197" s="114"/>
      <c r="K197" s="112"/>
      <c r="L197" s="113" t="str">
        <f>IF(AK178&gt;3,IF(AK177&gt;2,"/",""),"")</f>
        <v/>
      </c>
      <c r="M197" s="114"/>
      <c r="N197" s="112"/>
      <c r="O197" s="113" t="str">
        <f>IF(AK178&gt;4,IF(AK177&gt;2,"/",""),"")</f>
        <v/>
      </c>
      <c r="P197" s="114"/>
      <c r="Q197" s="112"/>
      <c r="R197" s="113" t="str">
        <f>IF(AK178&gt;5,IF(AK177&gt;2,"/",""),"")</f>
        <v/>
      </c>
      <c r="S197" s="114"/>
      <c r="T197" s="112"/>
      <c r="U197" s="113" t="str">
        <f>IF(AK178&gt;6,IF(AK177&gt;2,"/",""),"")</f>
        <v/>
      </c>
      <c r="V197" s="114"/>
      <c r="W197" s="112"/>
      <c r="X197" s="113" t="str">
        <f>IF(AK178&gt;7,IF(AK177&gt;2,"/",""),"")</f>
        <v/>
      </c>
      <c r="Y197" s="114"/>
      <c r="Z197" s="112"/>
      <c r="AA197" s="113" t="str">
        <f>IF(AK178&gt;8,IF(AK177&gt;2,"/",""),"")</f>
        <v/>
      </c>
      <c r="AB197" s="114"/>
      <c r="AC197" s="112"/>
      <c r="AD197" s="113" t="str">
        <f>IF(AK178&gt;9,IF(AK177&gt;2,"/",""),"")</f>
        <v/>
      </c>
      <c r="AE197" s="114"/>
      <c r="AF197" s="160" t="str">
        <f>IF(AK179&gt;3,"Team 4","")</f>
        <v/>
      </c>
      <c r="AG197" s="162" t="str">
        <f>IF(AK179&lt;4,"",IF(AK178&lt;1,"",IF(B194=4,B200-D200,IF(D194=4,D200-B200,""))))</f>
        <v/>
      </c>
      <c r="AH197" s="162" t="str">
        <f>IF(AK179&lt;4,"",IF(AK178&lt;2,"",IF(E194=4,E200-G200,IF(G194=4,G200-E200,""))))</f>
        <v/>
      </c>
      <c r="AI197" s="162" t="str">
        <f>IF(AK179&lt;4,"",IF(AK178&lt;3,"",IF(H194=4,H200-J200,IF(J194=4,J200-H200,""))))</f>
        <v/>
      </c>
      <c r="AJ197" s="162" t="str">
        <f>IF(AK179&lt;4,"",IF(AK178&lt;4,"",IF(K194=4,K200-M200,IF(M194=4,M200-K200,""))))</f>
        <v/>
      </c>
      <c r="AK197" s="162" t="str">
        <f>IF(AK179&lt;4,"",IF(AK178&lt;5,"",IF(N194=4,N200-P200,IF(P194=4,P200-N200,""))))</f>
        <v/>
      </c>
      <c r="AL197" s="162" t="str">
        <f>IF(AK179&lt;4,"",IF(AK178&lt;6,"",IF(Q194=4,Q200-S200,IF(S194=4,S200-Q200,""))))</f>
        <v/>
      </c>
      <c r="AM197" s="162" t="str">
        <f>IF(AK179&lt;4,"",IF(AK178&lt;7,"",IF(T194=4,T200-V200,IF(V194=4,V200-T200,""))))</f>
        <v/>
      </c>
      <c r="AN197" s="162" t="str">
        <f>IF(AK179&lt;4,"",IF(AK178&lt;8,"",IF(W194=4,W200-Y200,IF(Y194=4,Y200-W200,""))))</f>
        <v/>
      </c>
      <c r="AO197" s="162" t="str">
        <f>IF(AK179&lt;4,"",IF(AK178&lt;9,"",IF(Z194=4,Z200-AB200,IF(AB194=4,AB200-Z200,""))))</f>
        <v/>
      </c>
      <c r="AP197" s="162" t="str">
        <f>IF(AK179&lt;4,"",IF(AK178&lt;10,"",IF(AC194=4,AC200-AE200,IF(AE194=4,AE200-AC200,""))))</f>
        <v/>
      </c>
      <c r="AQ197" s="161">
        <f>SUM(AG197:AP197)</f>
        <v>0</v>
      </c>
    </row>
    <row r="198" spans="1:51" ht="15" hidden="1">
      <c r="A198" s="46" t="str">
        <f>IF(AK177&gt;3,"Game 4","")</f>
        <v/>
      </c>
      <c r="B198" s="112"/>
      <c r="C198" s="113" t="s">
        <v>37</v>
      </c>
      <c r="D198" s="114"/>
      <c r="E198" s="112"/>
      <c r="F198" s="113" t="str">
        <f>IF(AK178&gt;1,IF(AK177&gt;3,"/",""),"")</f>
        <v/>
      </c>
      <c r="G198" s="114"/>
      <c r="H198" s="112"/>
      <c r="I198" s="113" t="str">
        <f>IF(AK178&gt;2,IF(AK177&gt;3,"/",""),"")</f>
        <v/>
      </c>
      <c r="J198" s="114"/>
      <c r="K198" s="112"/>
      <c r="L198" s="113" t="str">
        <f>IF(AK178&gt;3,IF(AK177&gt;3,"/",""),"")</f>
        <v/>
      </c>
      <c r="M198" s="114"/>
      <c r="N198" s="112"/>
      <c r="O198" s="113" t="str">
        <f>IF(AK178&gt;4,IF(AK177&gt;3,"/",""),"")</f>
        <v/>
      </c>
      <c r="P198" s="114"/>
      <c r="Q198" s="112"/>
      <c r="R198" s="113" t="str">
        <f>IF(AK178&gt;5,IF(AK177&gt;3,"/",""),"")</f>
        <v/>
      </c>
      <c r="S198" s="114"/>
      <c r="T198" s="112"/>
      <c r="U198" s="113" t="str">
        <f>IF(AK178&gt;6,IF(AK177&gt;3,"/",""),"")</f>
        <v/>
      </c>
      <c r="V198" s="114"/>
      <c r="W198" s="112"/>
      <c r="X198" s="113" t="str">
        <f>IF(AK178&gt;7,IF(AK177&gt;3,"/",""),"")</f>
        <v/>
      </c>
      <c r="Y198" s="114"/>
      <c r="Z198" s="112"/>
      <c r="AA198" s="113" t="str">
        <f>IF(AK178&gt;8,IF(AK177&gt;3,"/",""),"")</f>
        <v/>
      </c>
      <c r="AB198" s="114"/>
      <c r="AC198" s="112"/>
      <c r="AD198" s="113" t="str">
        <f>IF(AK178&gt;9,IF(AK177&gt;3,"/",""),"")</f>
        <v/>
      </c>
      <c r="AE198" s="114"/>
      <c r="AF198" s="160" t="str">
        <f>IF(AK179&gt;4,"Team 5","")</f>
        <v/>
      </c>
      <c r="AG198" s="163" t="str">
        <f>IF(AK179&lt;5,"",IF(AK178&lt;1,"",IF(B194=5,B200-D200,IF(D194=5,D200-B200,""))))</f>
        <v/>
      </c>
      <c r="AH198" s="162" t="str">
        <f>IF(AK179&lt;5,"",IF(AK178&lt;2,"",IF(E194=5,E200-G200,IF(G194=5,G200-E200,""))))</f>
        <v/>
      </c>
      <c r="AI198" s="162" t="str">
        <f>IF(AK179&lt;5,"",IF(AK178&lt;3,"",IF(H194=5,H200-J200,IF(J194=5,J200-H200,""))))</f>
        <v/>
      </c>
      <c r="AJ198" s="162" t="str">
        <f>IF(AK179&lt;5,"",IF(AK178&lt;4,"",IF(K194=5,K200-M200,IF(M194=5,M200-K200,""))))</f>
        <v/>
      </c>
      <c r="AK198" s="162" t="str">
        <f>IF(AK179&lt;5,"",IF(AK178&lt;5,"",IF(N194=5,N200-P200,IF(P194=5,P200-N200,""))))</f>
        <v/>
      </c>
      <c r="AL198" s="162" t="str">
        <f>IF(AK179&lt;5,"",IF(AK178&lt;6,"",IF(Q194=5,Q200-S200,IF(S194=5,S200-Q200,""))))</f>
        <v/>
      </c>
      <c r="AM198" s="162" t="str">
        <f>IF(AK179&lt;5,"",IF(AK178&lt;7,"",IF(T194=5,T200-V200,IF(V194=5,V200-T200,""))))</f>
        <v/>
      </c>
      <c r="AN198" s="162" t="str">
        <f>IF(AK179&lt;5,"",IF(AK178&lt;8,"",IF(W194=5,W200-Y200,IF(Y194=5,Y200-W200,""))))</f>
        <v/>
      </c>
      <c r="AO198" s="162" t="str">
        <f>IF(AK179&lt;5,"",IF(AK178&lt;9,"",IF(Z194=5,Z200-AB200,IF(AB194=5,AB200-Z200,""))))</f>
        <v/>
      </c>
      <c r="AP198" s="162" t="str">
        <f>IF(AK179&lt;5,"",IF(AK178&lt;10,"",IF(AC194=5,AC200-AE200,IF(AE194=5,AE200-AC200,""))))</f>
        <v/>
      </c>
      <c r="AQ198" s="161">
        <f>SUM(AG198:AP198)</f>
        <v>0</v>
      </c>
    </row>
    <row r="199" spans="1:51" ht="15">
      <c r="A199" s="46" t="str">
        <f>IF(AK177&gt;4,"Game 5","")</f>
        <v/>
      </c>
      <c r="B199" s="112"/>
      <c r="C199" s="113" t="s">
        <v>37</v>
      </c>
      <c r="D199" s="114"/>
      <c r="E199" s="112"/>
      <c r="F199" s="113" t="str">
        <f>IF(AK178&gt;1,IF(AK177&gt;4,"/",""),"")</f>
        <v/>
      </c>
      <c r="G199" s="114"/>
      <c r="H199" s="112"/>
      <c r="I199" s="113" t="str">
        <f>IF(AK178&gt;2,IF(AK177&gt;4,"/",""),"")</f>
        <v/>
      </c>
      <c r="J199" s="114"/>
      <c r="K199" s="112"/>
      <c r="L199" s="113" t="str">
        <f>IF(AK178&gt;3,IF(AK177&gt;4,"/",""),"")</f>
        <v/>
      </c>
      <c r="M199" s="114"/>
      <c r="N199" s="112"/>
      <c r="O199" s="113" t="str">
        <f>IF(AK178&gt;4,IF(AK177&gt;4,"/",""),"")</f>
        <v/>
      </c>
      <c r="P199" s="114"/>
      <c r="Q199" s="112"/>
      <c r="R199" s="113" t="str">
        <f>IF(AK178&gt;5,IF(AK177&gt;4,"/",""),"")</f>
        <v/>
      </c>
      <c r="S199" s="114"/>
      <c r="T199" s="112"/>
      <c r="U199" s="113" t="str">
        <f>IF(AK178&gt;6,IF(AK177&gt;4,"/",""),"")</f>
        <v/>
      </c>
      <c r="V199" s="114"/>
      <c r="W199" s="112"/>
      <c r="X199" s="113" t="str">
        <f>IF(AK178&gt;7,IF(AK177&gt;4,"/",""),"")</f>
        <v/>
      </c>
      <c r="Y199" s="114"/>
      <c r="Z199" s="112"/>
      <c r="AA199" s="113" t="str">
        <f>IF(AK178&gt;8,IF(AK177&gt;4,"/",""),"")</f>
        <v/>
      </c>
      <c r="AB199" s="114"/>
      <c r="AC199" s="112"/>
      <c r="AD199" s="113" t="str">
        <f>IF(AK178&gt;9,IF(AK177&gt;4,"/",""),"")</f>
        <v/>
      </c>
      <c r="AE199" s="114"/>
      <c r="AF199" s="1"/>
      <c r="AG199" s="1"/>
      <c r="AH199" s="1"/>
      <c r="AI199" s="1"/>
      <c r="AJ199" s="1"/>
      <c r="AK199" s="1"/>
      <c r="AL199" s="1"/>
      <c r="AM199" s="1"/>
      <c r="AN199" s="1"/>
      <c r="AO199" s="1"/>
      <c r="AP199" s="1"/>
      <c r="AQ199" s="1"/>
    </row>
    <row r="200" spans="1:51" hidden="1">
      <c r="A200" s="116"/>
      <c r="B200" s="116">
        <f>IF($AK177=5,SUM(B195:B199),IF($AK177=4,SUM(B195:B198),IF($AK177=3,SUM(B195:B197),IF($AK177=2,SUM(B195:B196),B195))))</f>
        <v>35</v>
      </c>
      <c r="C200" s="116"/>
      <c r="D200" s="116">
        <f>IF($AK177=5,SUM(D195:D199),IF($AK177=4,SUM(D195:D198),IF($AK177=3,SUM(D195:D197),IF($AK177=2,SUM(D195:D196),D195))))</f>
        <v>28</v>
      </c>
      <c r="E200" s="116">
        <f>IF($AK177=5,SUM(E195:E199),IF($AK177=4,SUM(E195:E198),IF($AK177=3,SUM(E195:E197),IF($AK177=2,SUM(E195:E196),E195))))</f>
        <v>37</v>
      </c>
      <c r="F200" s="116"/>
      <c r="G200" s="116">
        <f>IF($AK177=5,SUM(G195:G199),IF($AK177=4,SUM(G195:G198),IF($AK177=3,SUM(G195:G197),IF($AK177=2,SUM(G195:G196),G195))))</f>
        <v>30</v>
      </c>
      <c r="H200" s="116">
        <f>IF($AK177=5,SUM(H195:H199),IF($AK177=4,SUM(H195:H198),IF($AK177=3,SUM(H195:H197),IF($AK177=2,SUM(H195:H196),H195))))</f>
        <v>39</v>
      </c>
      <c r="I200" s="116"/>
      <c r="J200" s="116">
        <f>IF($AK177=5,SUM(J195:J199),IF($AK177=4,SUM(J195:J198),IF($AK177=3,SUM(J195:J197),IF($AK177=2,SUM(J195:J196),J195))))</f>
        <v>29</v>
      </c>
      <c r="K200" s="116">
        <f>IF($AK177=5,SUM(K195:K199),IF($AK177=4,SUM(K195:K198),IF($AK177=3,SUM(K195:K197),IF($AK177=2,SUM(K195:K196),K195))))</f>
        <v>0</v>
      </c>
      <c r="L200" s="116"/>
      <c r="M200" s="116">
        <f>IF($AK177=5,SUM(M195:M199),IF($AK177=4,SUM(M195:M198),IF($AK177=3,SUM(M195:M197),IF($AK177=2,SUM(M195:M196),M195))))</f>
        <v>0</v>
      </c>
      <c r="N200" s="116">
        <f>IF($AK177=5,SUM(N195:N199),IF($AK177=4,SUM(N195:N198),IF($AK177=3,SUM(N195:N197),IF($AK177=2,SUM(N195:N196),N195))))</f>
        <v>0</v>
      </c>
      <c r="O200" s="116"/>
      <c r="P200" s="116">
        <f>IF($AK177=5,SUM(P195:P199),IF($AK177=4,SUM(P195:P198),IF($AK177=3,SUM(P195:P197),IF($AK177=2,SUM(P195:P196),P195))))</f>
        <v>0</v>
      </c>
      <c r="Q200" s="116">
        <f>IF($AK177=5,SUM(Q195:Q199),IF($AK177=4,SUM(Q195:Q198),IF($AK177=3,SUM(Q195:Q197),IF($AK177=2,SUM(Q195:Q196),Q195))))</f>
        <v>0</v>
      </c>
      <c r="R200" s="116"/>
      <c r="S200" s="116">
        <f>IF($AK177=5,SUM(S195:S199),IF($AK177=4,SUM(S195:S198),IF($AK177=3,SUM(S195:S197),IF($AK177=2,SUM(S195:S196),S195))))</f>
        <v>0</v>
      </c>
      <c r="T200" s="116">
        <f>IF($AK177=5,SUM(T195:T199),IF($AK177=4,SUM(T195:T198),IF($AK177=3,SUM(T195:T197),IF($AK177=2,SUM(T195:T196),T195))))</f>
        <v>0</v>
      </c>
      <c r="U200" s="116"/>
      <c r="V200" s="116">
        <f>IF($AK177=5,SUM(V195:V199),IF($AK177=4,SUM(V195:V198),IF($AK177=3,SUM(V195:V197),IF($AK177=2,SUM(V195:V196),V195))))</f>
        <v>0</v>
      </c>
      <c r="W200" s="116">
        <f>IF($AK177=5,SUM(W195:W199),IF($AK177=4,SUM(W195:W198),IF($AK177=3,SUM(W195:W197),IF($AK177=2,SUM(W195:W196),W195))))</f>
        <v>0</v>
      </c>
      <c r="X200" s="116"/>
      <c r="Y200" s="116">
        <f>IF($AK177=5,SUM(Y195:Y199),IF($AK177=4,SUM(Y195:Y198),IF($AK177=3,SUM(Y195:Y197),IF($AK177=2,SUM(Y195:Y196),Y195))))</f>
        <v>0</v>
      </c>
      <c r="Z200" s="116">
        <f>IF($AK177=5,SUM(Z195:Z199),IF($AK177=4,SUM(Z195:Z198),IF($AK177=3,SUM(Z195:Z197),IF($AK177=2,SUM(Z195:Z196),Z195))))</f>
        <v>0</v>
      </c>
      <c r="AA200" s="116"/>
      <c r="AB200" s="116">
        <f>IF($AK177=5,SUM(AB195:AB199),IF($AK177=4,SUM(AB195:AB198),IF($AK177=3,SUM(AB195:AB197),IF($AK177=2,SUM(AB195:AB196),AB195))))</f>
        <v>0</v>
      </c>
      <c r="AC200" s="116">
        <f>IF($AK177=5,SUM(AC195:AC199),IF($AK177=4,SUM(AC195:AC198),IF($AK177=3,SUM(AC195:AC197),IF($AK177=2,SUM(AC195:AC196),AC195))))</f>
        <v>0</v>
      </c>
      <c r="AD200" s="116"/>
      <c r="AE200" s="116">
        <f>IF($AK177=5,SUM(AE195:AE199),IF($AK177=4,SUM(AE195:AE198),IF($AK177=3,SUM(AE195:AE197),IF($AK177=2,SUM(AE195:AE196),AE195))))</f>
        <v>0</v>
      </c>
      <c r="AF200" s="1"/>
      <c r="AG200" s="1"/>
      <c r="AH200" s="1"/>
      <c r="AI200" s="1"/>
      <c r="AJ200" s="1"/>
      <c r="AK200" s="1"/>
      <c r="AL200" s="1"/>
      <c r="AM200" s="1"/>
      <c r="AN200" s="1"/>
      <c r="AO200" s="1"/>
      <c r="AP200" s="1"/>
      <c r="AQ200" s="1"/>
    </row>
    <row r="201" spans="1:51" s="115" customFormat="1" ht="12.75" hidden="1" customHeight="1">
      <c r="A201" s="115" t="s">
        <v>201</v>
      </c>
      <c r="B201" s="164">
        <f>IF(AND(B195&gt;D195,$AK178&gt;0,ISNUMBER(B195),ISNUMBER(D195)),1,0)</f>
        <v>1</v>
      </c>
      <c r="C201" s="164"/>
      <c r="D201" s="165">
        <f>IF(AND(D195&gt;B195,$AK178&gt;0,ISNUMBER(B195),ISNUMBER(D195)),1,0)</f>
        <v>0</v>
      </c>
      <c r="E201" s="164">
        <f>IF(AND(E195&gt;G195,$AK178&gt;1,ISNUMBER(E195),ISNUMBER(G195)),1,0)</f>
        <v>1</v>
      </c>
      <c r="F201" s="164"/>
      <c r="G201" s="165">
        <f>IF(AND(G195&gt;E195,$AK178&gt;1,ISNUMBER(E195),ISNUMBER(G195)),1,0)</f>
        <v>0</v>
      </c>
      <c r="H201" s="164">
        <f>IF(AND(H195&gt;J195,$AK178&gt;2,ISNUMBER(H195),ISNUMBER(J195)),1,0)</f>
        <v>1</v>
      </c>
      <c r="I201" s="164"/>
      <c r="J201" s="165">
        <f>IF(AND(J195&gt;H195,$AK178&gt;2,ISNUMBER(H195),ISNUMBER(J195)),1,0)</f>
        <v>0</v>
      </c>
      <c r="K201" s="164">
        <f>IF(AND(K195&gt;M195,$AK178&gt;3,ISNUMBER(K195),ISNUMBER(M195)),1,0)</f>
        <v>0</v>
      </c>
      <c r="L201" s="164"/>
      <c r="M201" s="165">
        <f>IF(AND(M195&gt;K195,$AK178&gt;3,ISNUMBER(K195),ISNUMBER(M195)),1,0)</f>
        <v>0</v>
      </c>
      <c r="N201" s="164">
        <f>IF(AND(N195&gt;P195,$AK178&gt;4,ISNUMBER(N195),ISNUMBER(P195)),1,0)</f>
        <v>0</v>
      </c>
      <c r="O201" s="164"/>
      <c r="P201" s="165">
        <f>IF(AND(P195&gt;N195,$AK178&gt;4,ISNUMBER(N195),ISNUMBER(P195)),1,0)</f>
        <v>0</v>
      </c>
      <c r="Q201" s="164">
        <f>IF(AND(Q195&gt;S195,$AK178&gt;5,ISNUMBER(Q195),ISNUMBER(S195)),1,0)</f>
        <v>0</v>
      </c>
      <c r="R201" s="164"/>
      <c r="S201" s="165">
        <f>IF(AND(S195&gt;Q195,$AK178&gt;5,ISNUMBER(Q195),ISNUMBER(S195)),1,0)</f>
        <v>0</v>
      </c>
      <c r="T201" s="164">
        <f>IF(AND(T195&gt;V195,$AK178&gt;6,ISNUMBER(T195),ISNUMBER(V195)),1,0)</f>
        <v>0</v>
      </c>
      <c r="U201" s="164"/>
      <c r="V201" s="165">
        <f>IF(AND(V195&gt;T195,$AK178&gt;6,ISNUMBER(T195),ISNUMBER(V195)),1,0)</f>
        <v>0</v>
      </c>
      <c r="W201" s="164">
        <f>IF(AND(W195&gt;Y195,$AK178&gt;7,ISNUMBER(W195),ISNUMBER(Y195)),1,0)</f>
        <v>0</v>
      </c>
      <c r="X201" s="164"/>
      <c r="Y201" s="165">
        <f>IF(AND(Y195&gt;W195,$AK178&gt;7,ISNUMBER(W195),ISNUMBER(Y195)),1,0)</f>
        <v>0</v>
      </c>
      <c r="Z201" s="164">
        <f>IF(AND(Z195&gt;AB195,$AK178&gt;8,ISNUMBER(Z195),ISNUMBER(AB195)),1,0)</f>
        <v>0</v>
      </c>
      <c r="AA201" s="164"/>
      <c r="AB201" s="165">
        <f>IF(AND(AB195&gt;Z195,$AK178&gt;8,ISNUMBER(Z195),ISNUMBER(AB195)),1,0)</f>
        <v>0</v>
      </c>
      <c r="AC201" s="164">
        <f>IF(AND(AC195&gt;AE195,$AK178&gt;9,ISNUMBER(AC195),ISNUMBER(AE195)),1,0)</f>
        <v>0</v>
      </c>
      <c r="AD201" s="164"/>
      <c r="AE201" s="165">
        <f>IF(AND(AE195&gt;AC195,$AK178&gt;9,ISNUMBER(AC195),ISNUMBER(AE195)),1,0)</f>
        <v>0</v>
      </c>
      <c r="AT201" s="513"/>
      <c r="AU201" s="513"/>
      <c r="AV201" s="513"/>
      <c r="AW201" s="514"/>
      <c r="AX201" s="513"/>
      <c r="AY201" s="513"/>
    </row>
    <row r="202" spans="1:51" s="115" customFormat="1" ht="12.75" hidden="1" customHeight="1">
      <c r="A202" s="115" t="s">
        <v>202</v>
      </c>
      <c r="B202" s="164">
        <f>IF(AND(B196&gt;D196,$AK178&gt;0,$AK177&gt;1,ISNUMBER(B196),ISNUMBER(D196)),1,0)</f>
        <v>0</v>
      </c>
      <c r="C202" s="164"/>
      <c r="D202" s="165">
        <f>IF(AND(D196&gt;B196,$AK178&gt;0,$AK177&gt;1,ISNUMBER(B196),ISNUMBER(D196)),1,0)</f>
        <v>1</v>
      </c>
      <c r="E202" s="164">
        <f>IF(AND(E196&gt;G196,$AK178&gt;1,$AK177&gt;1,ISNUMBER(E196),ISNUMBER(G196)),1,0)</f>
        <v>0</v>
      </c>
      <c r="F202" s="164"/>
      <c r="G202" s="165">
        <f>IF(AND(G196&gt;E196,$AK178&gt;1,$AK177&gt;1,ISNUMBER(E196),ISNUMBER(G196)),1,0)</f>
        <v>1</v>
      </c>
      <c r="H202" s="164">
        <f>IF(AND(H196&gt;J196,$AK178&gt;2,$AK177&gt;1,ISNUMBER(H196),ISNUMBER(J196)),1,0)</f>
        <v>1</v>
      </c>
      <c r="I202" s="164"/>
      <c r="J202" s="165">
        <f>IF(AND(J196&gt;H196,$AK178&gt;2,$AK177&gt;1,ISNUMBER(H196),ISNUMBER(J196)),1,0)</f>
        <v>0</v>
      </c>
      <c r="K202" s="164">
        <f>IF(AND(K196&gt;M196,$AK178&gt;3,$AK177&gt;1,ISNUMBER(K196),ISNUMBER(M196)),1,0)</f>
        <v>0</v>
      </c>
      <c r="L202" s="164"/>
      <c r="M202" s="165">
        <f>IF(AND(M196&gt;K196,$AK178&gt;3,$AK177&gt;1,ISNUMBER(K196),ISNUMBER(M196)),1,0)</f>
        <v>0</v>
      </c>
      <c r="N202" s="164">
        <f>IF(AND(N196&gt;P196,$AK178&gt;4,$AK177&gt;1,ISNUMBER(N196),ISNUMBER(P196)),1,0)</f>
        <v>0</v>
      </c>
      <c r="O202" s="164"/>
      <c r="P202" s="165">
        <f>IF(AND(P196&gt;N196,$AK178&gt;4,$AK177&gt;1,ISNUMBER(N196),ISNUMBER(P196)),1,0)</f>
        <v>0</v>
      </c>
      <c r="Q202" s="164">
        <f>IF(AND(Q196&gt;S196,$AK178&gt;5,$AK177&gt;1,ISNUMBER(Q196),ISNUMBER(S196)),1,0)</f>
        <v>0</v>
      </c>
      <c r="R202" s="164"/>
      <c r="S202" s="165">
        <f>IF(AND(S196&gt;Q196,$AK178&gt;5,$AK177&gt;1,ISNUMBER(Q196),ISNUMBER(S196)),1,0)</f>
        <v>0</v>
      </c>
      <c r="T202" s="164">
        <f>IF(AND(T196&gt;V196,$AK178&gt;6,$AK177&gt;1,ISNUMBER(T196),ISNUMBER(V196)),1,0)</f>
        <v>0</v>
      </c>
      <c r="U202" s="164"/>
      <c r="V202" s="165">
        <f>IF(AND(V196&gt;T196,$AK178&gt;6,$AK177&gt;1,ISNUMBER(T196),ISNUMBER(V196)),1,0)</f>
        <v>0</v>
      </c>
      <c r="W202" s="164">
        <f>IF(AND(W196&gt;Y196,$AK178&gt;7,$AK177&gt;1,ISNUMBER(W196),ISNUMBER(Y196)),1,0)</f>
        <v>0</v>
      </c>
      <c r="X202" s="164"/>
      <c r="Y202" s="165">
        <f>IF(AND(Y196&gt;W196,$AK178&gt;7,$AK177&gt;1,ISNUMBER(W196),ISNUMBER(Y196)),1,0)</f>
        <v>0</v>
      </c>
      <c r="Z202" s="164">
        <f>IF(AND(Z196&gt;AB196,$AK178&gt;8,$AK177&gt;1,ISNUMBER(Z196),ISNUMBER(AB196)),1,0)</f>
        <v>0</v>
      </c>
      <c r="AA202" s="164"/>
      <c r="AB202" s="165">
        <f>IF(AND(AB196&gt;Z196,$AK178&gt;8,$AK177&gt;1,ISNUMBER(Z196),ISNUMBER(AB196)),1,0)</f>
        <v>0</v>
      </c>
      <c r="AC202" s="164">
        <f>IF(AND(AC196&gt;AE196,$AK178&gt;9,$AK177&gt;1,ISNUMBER(AC196),ISNUMBER(AE196)),1,0)</f>
        <v>0</v>
      </c>
      <c r="AD202" s="164"/>
      <c r="AE202" s="165">
        <f>IF(AND(AE196&gt;AC196,$AK178&gt;9,$AK177&gt;1,ISNUMBER(AC196),ISNUMBER(AE196)),1,0)</f>
        <v>0</v>
      </c>
      <c r="AT202" s="513"/>
      <c r="AU202" s="513"/>
      <c r="AV202" s="513"/>
      <c r="AW202" s="514"/>
      <c r="AX202" s="513"/>
      <c r="AY202" s="513"/>
    </row>
    <row r="203" spans="1:51" s="115" customFormat="1" ht="12.75" hidden="1" customHeight="1">
      <c r="A203" s="115" t="s">
        <v>203</v>
      </c>
      <c r="B203" s="164">
        <f>IF(AND(B197&gt;D197,$AK178&gt;0,$AK177&gt;2,ISNUMBER(B197),ISNUMBER(D197)),1,0)</f>
        <v>0</v>
      </c>
      <c r="C203" s="164"/>
      <c r="D203" s="165">
        <f>IF(AND(D197&gt;B197,$AK178&gt;0,$AK177&gt;2,ISNUMBER(B197),ISNUMBER(D197)),1,0)</f>
        <v>0</v>
      </c>
      <c r="E203" s="164">
        <f>IF(AND(E197&gt;G197,$AK178&gt;1,$AK177&gt;2,ISNUMBER(E197),ISNUMBER(G197)),1,0)</f>
        <v>0</v>
      </c>
      <c r="F203" s="164"/>
      <c r="G203" s="165">
        <f>IF(AND(G197&gt;E197,$AK178&gt;1,$AK177&gt;2,ISNUMBER(E197),ISNUMBER(G197)),1,0)</f>
        <v>0</v>
      </c>
      <c r="H203" s="164">
        <f>IF(AND(H197&gt;J197,$AK178&gt;2,$AK177&gt;2,ISNUMBER(H197),ISNUMBER(J197)),1,0)</f>
        <v>0</v>
      </c>
      <c r="I203" s="164"/>
      <c r="J203" s="165">
        <f>IF(AND(J197&gt;H197,$AK178&gt;2,$AK177&gt;2,ISNUMBER(H197),ISNUMBER(J197)),1,0)</f>
        <v>0</v>
      </c>
      <c r="K203" s="164">
        <f>IF(AND(K197&gt;M197,$AK178&gt;3,$AK177&gt;2,ISNUMBER(K197),ISNUMBER(M197)),1,0)</f>
        <v>0</v>
      </c>
      <c r="L203" s="164"/>
      <c r="M203" s="165">
        <f>IF(AND(M197&gt;K197,$AK178&gt;3,$AK177&gt;2,ISNUMBER(K197),ISNUMBER(M197)),1,0)</f>
        <v>0</v>
      </c>
      <c r="N203" s="164">
        <f>IF(AND(N197&gt;P197,$AK178&gt;4,$AK177&gt;2,ISNUMBER(N197),ISNUMBER(P197)),1,0)</f>
        <v>0</v>
      </c>
      <c r="O203" s="164"/>
      <c r="P203" s="165">
        <f>IF(AND(P197&gt;N197,$AK178&gt;4,$AK177&gt;2,ISNUMBER(N197),ISNUMBER(P197)),1,0)</f>
        <v>0</v>
      </c>
      <c r="Q203" s="164">
        <f>IF(AND(Q197&gt;S197,$AK178&gt;5,$AK177&gt;2,ISNUMBER(Q197),ISNUMBER(S197)),1,0)</f>
        <v>0</v>
      </c>
      <c r="R203" s="164"/>
      <c r="S203" s="165">
        <f>IF(AND(S197&gt;Q197,$AK178&gt;5,$AK177&gt;2,ISNUMBER(Q197),ISNUMBER(S197)),1,0)</f>
        <v>0</v>
      </c>
      <c r="T203" s="164">
        <f>IF(AND(T197&gt;V197,$AK178&gt;6,$AK177&gt;2,ISNUMBER(T197),ISNUMBER(V197)),1,0)</f>
        <v>0</v>
      </c>
      <c r="U203" s="164"/>
      <c r="V203" s="165">
        <f>IF(AND(V197&gt;T197,$AK178&gt;6,$AK177&gt;2,ISNUMBER(T197),ISNUMBER(V197)),1,0)</f>
        <v>0</v>
      </c>
      <c r="W203" s="164">
        <f>IF(AND(W197&gt;Y197,$AK178&gt;7,$AK177&gt;2,ISNUMBER(W197),ISNUMBER(Y197)),1,0)</f>
        <v>0</v>
      </c>
      <c r="X203" s="164"/>
      <c r="Y203" s="165">
        <f>IF(AND(Y197&gt;W197,$AK178&gt;7,$AK177&gt;2,ISNUMBER(W197),ISNUMBER(Y197)),1,0)</f>
        <v>0</v>
      </c>
      <c r="Z203" s="164">
        <f>IF(AND(Z197&gt;AB197,$AK178&gt;8,$AK177&gt;2,ISNUMBER(Z197),ISNUMBER(AB197)),1,0)</f>
        <v>0</v>
      </c>
      <c r="AA203" s="164"/>
      <c r="AB203" s="165">
        <f>IF(AND(AB197&gt;Z197,$AK178&gt;8,$AK177&gt;2,ISNUMBER(Z197),ISNUMBER(AB197)),1,0)</f>
        <v>0</v>
      </c>
      <c r="AC203" s="164">
        <f>IF(AND(AC197&gt;AE197,$AK178&gt;9,$AK177&gt;2,ISNUMBER(AC197),ISNUMBER(AE197)),1,0)</f>
        <v>0</v>
      </c>
      <c r="AD203" s="164"/>
      <c r="AE203" s="165">
        <f>IF(AND(AE197&gt;AC197,$AK178&gt;9,$AK177&gt;2,ISNUMBER(AC197),ISNUMBER(AE197)),1,0)</f>
        <v>0</v>
      </c>
      <c r="AT203" s="513"/>
      <c r="AU203" s="513"/>
      <c r="AV203" s="513"/>
      <c r="AW203" s="514"/>
      <c r="AX203" s="513"/>
      <c r="AY203" s="513"/>
    </row>
    <row r="204" spans="1:51" s="115" customFormat="1" ht="12.75" hidden="1" customHeight="1">
      <c r="A204" s="115" t="s">
        <v>204</v>
      </c>
      <c r="B204" s="164">
        <f>IF(AND(B198&gt;D198,$AK178&gt;0,$AK177&gt;3,ISNUMBER(B198),ISNUMBER(D198)),1,0)</f>
        <v>0</v>
      </c>
      <c r="C204" s="164"/>
      <c r="D204" s="165">
        <f>IF(AND(D198&gt;B198,$AK178&gt;0,$AK177&gt;3,ISNUMBER(B198),ISNUMBER(D198)),1,0)</f>
        <v>0</v>
      </c>
      <c r="E204" s="164">
        <f>IF(AND(E198&gt;G198,$AK178&gt;1,$AK177&gt;3,ISNUMBER(E198),ISNUMBER(G198)),1,0)</f>
        <v>0</v>
      </c>
      <c r="F204" s="164"/>
      <c r="G204" s="165">
        <f>IF(AND(G198&gt;E198,$AK178&gt;1,$AK177&gt;3,ISNUMBER(E198),ISNUMBER(G198)),1,0)</f>
        <v>0</v>
      </c>
      <c r="H204" s="164">
        <f>IF(AND(H198&gt;J198,$AK178&gt;2,$AK177&gt;3,ISNUMBER(H198),ISNUMBER(J198)),1,0)</f>
        <v>0</v>
      </c>
      <c r="I204" s="164"/>
      <c r="J204" s="165">
        <f>IF(AND(J198&gt;H198,$AK178&gt;2,$AK177&gt;3,ISNUMBER(H198),ISNUMBER(J198)),1,0)</f>
        <v>0</v>
      </c>
      <c r="K204" s="164">
        <f>IF(AND(K198&gt;M198,$AK178&gt;3,$AK177&gt;3,ISNUMBER(K198),ISNUMBER(M198)),1,0)</f>
        <v>0</v>
      </c>
      <c r="L204" s="164"/>
      <c r="M204" s="165">
        <f>IF(AND(M198&gt;K198,$AK178&gt;3,$AK177&gt;3,ISNUMBER(K198),ISNUMBER(M198)),1,0)</f>
        <v>0</v>
      </c>
      <c r="N204" s="164">
        <f>IF(AND(N198&gt;P198,$AK178&gt;4,$AK177&gt;3,ISNUMBER(N198),ISNUMBER(P198)),1,0)</f>
        <v>0</v>
      </c>
      <c r="O204" s="164"/>
      <c r="P204" s="165">
        <f>IF(AND(P198&gt;N198,$AK178&gt;4,$AK177&gt;3,ISNUMBER(N198),ISNUMBER(P198)),1,0)</f>
        <v>0</v>
      </c>
      <c r="Q204" s="164">
        <f>IF(AND(Q198&gt;S198,$AK178&gt;5,$AK177&gt;3,ISNUMBER(Q198),ISNUMBER(S198)),1,0)</f>
        <v>0</v>
      </c>
      <c r="R204" s="164"/>
      <c r="S204" s="165">
        <f>IF(AND(S198&gt;Q198,$AK178&gt;5,$AK177&gt;3,ISNUMBER(Q198),ISNUMBER(S198)),1,0)</f>
        <v>0</v>
      </c>
      <c r="T204" s="164">
        <f>IF(AND(T198&gt;V198,$AK178&gt;6,$AK177&gt;3,ISNUMBER(T198),ISNUMBER(V198)),1,0)</f>
        <v>0</v>
      </c>
      <c r="U204" s="164"/>
      <c r="V204" s="165">
        <f>IF(AND(V198&gt;T198,$AK178&gt;6,$AK177&gt;3,ISNUMBER(T198),ISNUMBER(V198)),1,0)</f>
        <v>0</v>
      </c>
      <c r="W204" s="164">
        <f>IF(AND(W198&gt;Y198,$AK178&gt;7,$AK177&gt;3,ISNUMBER(W198),ISNUMBER(Y198)),1,0)</f>
        <v>0</v>
      </c>
      <c r="X204" s="164"/>
      <c r="Y204" s="165">
        <f>IF(AND(Y198&gt;W198,$AK178&gt;7,$AK177&gt;3,ISNUMBER(W198),ISNUMBER(Y198)),1,0)</f>
        <v>0</v>
      </c>
      <c r="Z204" s="164">
        <f>IF(AND(Z198&gt;AB198,$AK178&gt;8,$AK177&gt;3,ISNUMBER(Z198),ISNUMBER(AB198)),1,0)</f>
        <v>0</v>
      </c>
      <c r="AA204" s="164"/>
      <c r="AB204" s="165">
        <f>IF(AND(AB198&gt;Z198,$AK178&gt;8,$AK177&gt;3,ISNUMBER(Z198),ISNUMBER(AB198)),1,0)</f>
        <v>0</v>
      </c>
      <c r="AC204" s="164">
        <f>IF(AND(AC198&gt;AE198,$AK178&gt;9,$AK177&gt;3,ISNUMBER(AC198),ISNUMBER(AE198)),1,0)</f>
        <v>0</v>
      </c>
      <c r="AD204" s="164"/>
      <c r="AE204" s="165">
        <f>IF(AND(AE198&gt;AC198,$AK178&gt;9,$AK177&gt;3,ISNUMBER(AC198),ISNUMBER(AE198)),1,0)</f>
        <v>0</v>
      </c>
      <c r="AT204" s="513"/>
      <c r="AU204" s="513"/>
      <c r="AV204" s="513"/>
      <c r="AW204" s="514"/>
      <c r="AX204" s="513"/>
      <c r="AY204" s="513"/>
    </row>
    <row r="205" spans="1:51" s="115" customFormat="1" ht="12.75" hidden="1" customHeight="1">
      <c r="A205" s="115" t="s">
        <v>205</v>
      </c>
      <c r="B205" s="164">
        <f>IF(AND(B199&gt;D199,$AK178&gt;0,$AK177&gt;4,ISNUMBER(B199),ISNUMBER(D199)),1,0)</f>
        <v>0</v>
      </c>
      <c r="C205" s="164"/>
      <c r="D205" s="165">
        <f>IF(AND(D199&gt;B199,$AK178&gt;0,$AK177&gt;4,ISNUMBER(B199),ISNUMBER(D199)),1,0)</f>
        <v>0</v>
      </c>
      <c r="E205" s="164">
        <f>IF(AND(E199&gt;G199,$AK178&gt;1,$AK177&gt;4,ISNUMBER(E199),ISNUMBER(G199)),1,0)</f>
        <v>0</v>
      </c>
      <c r="F205" s="164"/>
      <c r="G205" s="165">
        <f>IF(AND(G199&gt;E199,$AK178&gt;1,$AK177&gt;4,ISNUMBER(E199),ISNUMBER(G199)),1,0)</f>
        <v>0</v>
      </c>
      <c r="H205" s="164">
        <f>IF(AND(H199&gt;J199,$AK178&gt;2,$AK177&gt;4,ISNUMBER(H199),ISNUMBER(J199)),1,0)</f>
        <v>0</v>
      </c>
      <c r="I205" s="164"/>
      <c r="J205" s="165">
        <f>IF(AND(J199&gt;H199,$AK178&gt;2,$AK177&gt;4,ISNUMBER(H199),ISNUMBER(J199)),1,0)</f>
        <v>0</v>
      </c>
      <c r="K205" s="164">
        <f>IF(AND(K199&gt;M199,$AK178&gt;3,$AK177&gt;4,ISNUMBER(K199),ISNUMBER(M199)),1,0)</f>
        <v>0</v>
      </c>
      <c r="L205" s="164"/>
      <c r="M205" s="165">
        <f>IF(AND(M199&gt;K199,$AK178&gt;3,$AK177&gt;4,ISNUMBER(K199),ISNUMBER(M199)),1,0)</f>
        <v>0</v>
      </c>
      <c r="N205" s="164">
        <f>IF(AND(N199&gt;P199,$AK178&gt;4,$AK177&gt;4,ISNUMBER(N199),ISNUMBER(P199)),1,0)</f>
        <v>0</v>
      </c>
      <c r="O205" s="164"/>
      <c r="P205" s="165">
        <f>IF(AND(P199&gt;N199,$AK178&gt;4,$AK177&gt;4,ISNUMBER(N199),ISNUMBER(P199)),1,0)</f>
        <v>0</v>
      </c>
      <c r="Q205" s="164">
        <f>IF(AND(Q199&gt;S199,$AK178&gt;5,$AK177&gt;4,ISNUMBER(Q199),ISNUMBER(S199)),1,0)</f>
        <v>0</v>
      </c>
      <c r="R205" s="164"/>
      <c r="S205" s="165">
        <f>IF(AND(S199&gt;Q199,$AK178&gt;5,$AK177&gt;4,ISNUMBER(Q199),ISNUMBER(S199)),1,0)</f>
        <v>0</v>
      </c>
      <c r="T205" s="164">
        <f>IF(AND(T199&gt;V199,$AK178&gt;6,$AK177&gt;4,ISNUMBER(T199),ISNUMBER(V199)),1,0)</f>
        <v>0</v>
      </c>
      <c r="U205" s="164"/>
      <c r="V205" s="165">
        <f>IF(AND(V199&gt;T199,$AK178&gt;6,$AK177&gt;4,ISNUMBER(T199),ISNUMBER(V199)),1,0)</f>
        <v>0</v>
      </c>
      <c r="W205" s="164">
        <f>IF(AND(W199&gt;Y199,$AK178&gt;7,$AK177&gt;4,ISNUMBER(W199),ISNUMBER(Y199)),1,0)</f>
        <v>0</v>
      </c>
      <c r="X205" s="164"/>
      <c r="Y205" s="165">
        <f>IF(AND(Y199&gt;W199,$AK178&gt;7,$AK177&gt;4,ISNUMBER(W199),ISNUMBER(Y199)),1,0)</f>
        <v>0</v>
      </c>
      <c r="Z205" s="164">
        <f>IF(AND(Z199&gt;AB199,$AK178&gt;8,$AK177&gt;4,ISNUMBER(Z199),ISNUMBER(AB199)),1,0)</f>
        <v>0</v>
      </c>
      <c r="AA205" s="164"/>
      <c r="AB205" s="165">
        <f>IF(AND(AB199&gt;Z199,$AK178&gt;8,$AK177&gt;4,ISNUMBER(Z199),ISNUMBER(AB199)),1,0)</f>
        <v>0</v>
      </c>
      <c r="AC205" s="164">
        <f>IF(AND(AC199&gt;AE199,$AK178&gt;9,$AK177&gt;4,ISNUMBER(AC199),ISNUMBER(AE199)),1,0)</f>
        <v>0</v>
      </c>
      <c r="AD205" s="164"/>
      <c r="AE205" s="165">
        <f>IF(AND(AE199&gt;AC199,$AK178&gt;9,$AK177&gt;4,ISNUMBER(AC199),ISNUMBER(AE199)),1,0)</f>
        <v>0</v>
      </c>
      <c r="AT205" s="513"/>
      <c r="AU205" s="513"/>
      <c r="AV205" s="513"/>
      <c r="AW205" s="514"/>
      <c r="AX205" s="513"/>
      <c r="AY205" s="513"/>
    </row>
    <row r="206" spans="1:51" s="115" customFormat="1" ht="38.25" hidden="1" customHeight="1">
      <c r="A206" s="167" t="s">
        <v>206</v>
      </c>
      <c r="B206" s="115">
        <f>SUM(B201:B205)</f>
        <v>1</v>
      </c>
      <c r="D206" s="168">
        <f>SUM(D201:D205)</f>
        <v>1</v>
      </c>
      <c r="E206" s="115">
        <f>SUM(E201:E205)</f>
        <v>1</v>
      </c>
      <c r="G206" s="168">
        <f>SUM(G201:G205)</f>
        <v>1</v>
      </c>
      <c r="H206" s="115">
        <f>SUM(H201:H205)</f>
        <v>2</v>
      </c>
      <c r="J206" s="168">
        <f>SUM(J201:J205)</f>
        <v>0</v>
      </c>
      <c r="K206" s="115">
        <f>SUM(K201:K205)</f>
        <v>0</v>
      </c>
      <c r="M206" s="168">
        <f>SUM(M201:M205)</f>
        <v>0</v>
      </c>
      <c r="N206" s="115">
        <f>SUM(N201:N205)</f>
        <v>0</v>
      </c>
      <c r="P206" s="168">
        <f>SUM(P201:P205)</f>
        <v>0</v>
      </c>
      <c r="Q206" s="115">
        <f>SUM(Q201:Q205)</f>
        <v>0</v>
      </c>
      <c r="S206" s="168">
        <f>SUM(S201:S205)</f>
        <v>0</v>
      </c>
      <c r="T206" s="115">
        <f>SUM(T201:T205)</f>
        <v>0</v>
      </c>
      <c r="V206" s="168">
        <f>SUM(V201:V205)</f>
        <v>0</v>
      </c>
      <c r="W206" s="115">
        <f>SUM(W201:W205)</f>
        <v>0</v>
      </c>
      <c r="Y206" s="168">
        <f>SUM(Y201:Y205)</f>
        <v>0</v>
      </c>
      <c r="Z206" s="115">
        <f>SUM(Z201:Z205)</f>
        <v>0</v>
      </c>
      <c r="AB206" s="168">
        <f>SUM(AB201:AB205)</f>
        <v>0</v>
      </c>
      <c r="AC206" s="115">
        <f>SUM(AC201:AC205)</f>
        <v>0</v>
      </c>
      <c r="AE206" s="168">
        <f>SUM(AE201:AE205)</f>
        <v>0</v>
      </c>
      <c r="AT206" s="513"/>
      <c r="AU206" s="513"/>
      <c r="AV206" s="513"/>
      <c r="AW206" s="514"/>
      <c r="AX206" s="513"/>
      <c r="AY206" s="513"/>
    </row>
    <row r="207" spans="1:51" s="115" customFormat="1" ht="25.5" hidden="1" customHeight="1">
      <c r="A207" s="167" t="s">
        <v>207</v>
      </c>
      <c r="B207" s="115">
        <f>IF(B206&gt;D206,IF(C241=AK177,1,IF(C241=AK177-1,1,0)),0)</f>
        <v>0</v>
      </c>
      <c r="C207" s="115">
        <f>B207+D207</f>
        <v>0</v>
      </c>
      <c r="D207" s="168">
        <f>IF(D206&gt;B206,IF(C241=AK177,1,IF(C241=AK177-1,1,0)),0)</f>
        <v>0</v>
      </c>
      <c r="E207" s="115">
        <f>IF(E206&gt;G206,IF(F241=AK177,1,IF(F241=AK177-1,1,0)),0)</f>
        <v>0</v>
      </c>
      <c r="F207" s="115">
        <f>E207+G207</f>
        <v>0</v>
      </c>
      <c r="G207" s="168">
        <f>IF(G206&gt;E206,IF(F241=AK177,1,IF(F241=AK177-1,1,0)),0)</f>
        <v>0</v>
      </c>
      <c r="H207" s="115">
        <f>IF(H206&gt;J206,IF(I241=AK177,1,IF(I241=AK177-1,1,0)),0)</f>
        <v>1</v>
      </c>
      <c r="I207" s="115">
        <f>H207+J207</f>
        <v>1</v>
      </c>
      <c r="J207" s="168">
        <f>IF(J206&gt;H206,IF(I241=AK177,1,IF(I241=AK177-1,1,0)),0)</f>
        <v>0</v>
      </c>
      <c r="K207" s="115">
        <f>IF(K206&gt;M206,IF(L241=AK177,1,IF(L241=AK177-1,1,0)),0)</f>
        <v>0</v>
      </c>
      <c r="L207" s="115">
        <f>K207+M207</f>
        <v>0</v>
      </c>
      <c r="M207" s="168">
        <f>IF(M206&gt;K206,IF(L241=AK177,1,IF(L241=AK177-1,1,0)),0)</f>
        <v>0</v>
      </c>
      <c r="N207" s="115">
        <f>IF(N206&gt;P206,IF(O241=AK177,1,IF(O241=AK177-1,1,0)),0)</f>
        <v>0</v>
      </c>
      <c r="O207" s="115">
        <f>N207+P207</f>
        <v>0</v>
      </c>
      <c r="P207" s="168">
        <f>IF(P206&gt;N206,IF(O241=AK177,1,IF(O241=AK177-1,1,0)),0)</f>
        <v>0</v>
      </c>
      <c r="Q207" s="115">
        <f>IF(Q206&gt;S206,IF(R241=AK177,1,IF(R241=AK177-1,1,0)),0)</f>
        <v>0</v>
      </c>
      <c r="R207" s="115">
        <f>Q207+S207</f>
        <v>0</v>
      </c>
      <c r="S207" s="168">
        <f>IF(S206&gt;Q206,IF(R241=AK177,1,IF(R241=AK177-1,1,0)),0)</f>
        <v>0</v>
      </c>
      <c r="T207" s="115">
        <f>IF(T206&gt;V206,IF(U241=AK177,1,IF(U241=AK177-1,1,0)),0)</f>
        <v>0</v>
      </c>
      <c r="U207" s="115">
        <f>T207+V207</f>
        <v>0</v>
      </c>
      <c r="V207" s="168">
        <f>IF(V206&gt;T206,IF(U241=AK177,1,IF(U241=AK177-1,1,0)),0)</f>
        <v>0</v>
      </c>
      <c r="W207" s="115">
        <f>IF(W206&gt;Y206,IF(X241=AK177,1,IF(X241=AK177-1,1,0)),0)</f>
        <v>0</v>
      </c>
      <c r="X207" s="115">
        <f>W207+Y207</f>
        <v>0</v>
      </c>
      <c r="Y207" s="168">
        <f>IF(Y206&gt;W206,IF(X241=AK177,1,IF(X241=AK177-1,1,0)),0)</f>
        <v>0</v>
      </c>
      <c r="Z207" s="115">
        <f>IF(Z206&gt;AB206,IF(AA241=AK177,1,IF(AA241=AK177-1,1,0)),0)</f>
        <v>0</v>
      </c>
      <c r="AA207" s="115">
        <f>Z207+AB207</f>
        <v>0</v>
      </c>
      <c r="AB207" s="168">
        <f>IF(AB206&gt;Z206,IF(AA241=AK177,1,IF(AA241=AK177-1,1,0)),0)</f>
        <v>0</v>
      </c>
      <c r="AC207" s="115">
        <f>IF(AC206&gt;AE206,IF(AD241=AK177,1,IF(AD241=AK177-1,1,0)),0)</f>
        <v>0</v>
      </c>
      <c r="AD207" s="115">
        <f>AC207+AE207</f>
        <v>0</v>
      </c>
      <c r="AE207" s="168">
        <f>IF(AE206&gt;AC206,IF(AD241=AK177,1,IF(AD241=AK177-1,1,0)),0)</f>
        <v>0</v>
      </c>
      <c r="AT207" s="513"/>
      <c r="AU207" s="513"/>
      <c r="AV207" s="513"/>
      <c r="AW207" s="514"/>
      <c r="AX207" s="513"/>
      <c r="AY207" s="513"/>
    </row>
    <row r="208" spans="1:51" s="115" customFormat="1" ht="25.5" hidden="1" customHeight="1">
      <c r="A208" s="167"/>
      <c r="D208" s="168"/>
      <c r="G208" s="168"/>
      <c r="J208" s="168"/>
      <c r="M208" s="168"/>
      <c r="P208" s="168"/>
      <c r="S208" s="168"/>
      <c r="V208" s="168"/>
      <c r="Y208" s="168"/>
      <c r="AB208" s="168"/>
      <c r="AE208" s="168"/>
      <c r="AT208" s="513"/>
      <c r="AU208" s="513"/>
      <c r="AV208" s="513"/>
      <c r="AW208" s="514"/>
      <c r="AX208" s="513"/>
      <c r="AY208" s="513"/>
    </row>
    <row r="209" spans="1:51" s="115" customFormat="1" ht="12.75" hidden="1" customHeight="1">
      <c r="A209" s="115" t="s">
        <v>208</v>
      </c>
      <c r="B209" s="115">
        <f>IF(B201=1,B195,0)</f>
        <v>21</v>
      </c>
      <c r="D209" s="168">
        <f t="shared" ref="D209:E213" si="20">IF(D201=1,D195,0)</f>
        <v>0</v>
      </c>
      <c r="E209" s="115">
        <f t="shared" si="20"/>
        <v>23</v>
      </c>
      <c r="G209" s="168">
        <f t="shared" ref="G209:H213" si="21">IF(G201=1,G195,0)</f>
        <v>0</v>
      </c>
      <c r="H209" s="115">
        <f t="shared" si="21"/>
        <v>21</v>
      </c>
      <c r="J209" s="168">
        <f t="shared" ref="J209:K213" si="22">IF(J201=1,J195,0)</f>
        <v>0</v>
      </c>
      <c r="K209" s="115">
        <f t="shared" si="22"/>
        <v>0</v>
      </c>
      <c r="M209" s="168">
        <f t="shared" ref="M209:N213" si="23">IF(M201=1,M195,0)</f>
        <v>0</v>
      </c>
      <c r="N209" s="115">
        <f t="shared" si="23"/>
        <v>0</v>
      </c>
      <c r="P209" s="168">
        <f t="shared" ref="P209:Q213" si="24">IF(P201=1,P195,0)</f>
        <v>0</v>
      </c>
      <c r="Q209" s="115">
        <f t="shared" si="24"/>
        <v>0</v>
      </c>
      <c r="S209" s="168">
        <f t="shared" ref="S209:T213" si="25">IF(S201=1,S195,0)</f>
        <v>0</v>
      </c>
      <c r="T209" s="115">
        <f t="shared" si="25"/>
        <v>0</v>
      </c>
      <c r="V209" s="168">
        <f t="shared" ref="V209:W213" si="26">IF(V201=1,V195,0)</f>
        <v>0</v>
      </c>
      <c r="W209" s="115">
        <f t="shared" si="26"/>
        <v>0</v>
      </c>
      <c r="Y209" s="168">
        <f t="shared" ref="Y209:Z213" si="27">IF(Y201=1,Y195,0)</f>
        <v>0</v>
      </c>
      <c r="Z209" s="115">
        <f t="shared" si="27"/>
        <v>0</v>
      </c>
      <c r="AB209" s="168">
        <f t="shared" ref="AB209:AC213" si="28">IF(AB201=1,AB195,0)</f>
        <v>0</v>
      </c>
      <c r="AC209" s="115">
        <f t="shared" si="28"/>
        <v>0</v>
      </c>
      <c r="AE209" s="168">
        <f>IF(AE201=1,AE195,0)</f>
        <v>0</v>
      </c>
      <c r="AT209" s="513"/>
      <c r="AU209" s="513"/>
      <c r="AV209" s="513"/>
      <c r="AW209" s="514"/>
      <c r="AX209" s="513"/>
      <c r="AY209" s="513"/>
    </row>
    <row r="210" spans="1:51" s="115" customFormat="1" ht="12.75" hidden="1" customHeight="1">
      <c r="A210" s="115" t="s">
        <v>209</v>
      </c>
      <c r="B210" s="115">
        <f>IF(B202=1,B196,0)</f>
        <v>0</v>
      </c>
      <c r="D210" s="168">
        <f t="shared" si="20"/>
        <v>18</v>
      </c>
      <c r="E210" s="115">
        <f t="shared" si="20"/>
        <v>0</v>
      </c>
      <c r="G210" s="168">
        <f t="shared" si="21"/>
        <v>18</v>
      </c>
      <c r="H210" s="115">
        <f t="shared" si="21"/>
        <v>18</v>
      </c>
      <c r="J210" s="168">
        <f t="shared" si="22"/>
        <v>0</v>
      </c>
      <c r="K210" s="115">
        <f t="shared" si="22"/>
        <v>0</v>
      </c>
      <c r="M210" s="168">
        <f t="shared" si="23"/>
        <v>0</v>
      </c>
      <c r="N210" s="115">
        <f t="shared" si="23"/>
        <v>0</v>
      </c>
      <c r="P210" s="168">
        <f t="shared" si="24"/>
        <v>0</v>
      </c>
      <c r="Q210" s="115">
        <f t="shared" si="24"/>
        <v>0</v>
      </c>
      <c r="S210" s="168">
        <f t="shared" si="25"/>
        <v>0</v>
      </c>
      <c r="T210" s="115">
        <f t="shared" si="25"/>
        <v>0</v>
      </c>
      <c r="V210" s="168">
        <f t="shared" si="26"/>
        <v>0</v>
      </c>
      <c r="W210" s="115">
        <f t="shared" si="26"/>
        <v>0</v>
      </c>
      <c r="Y210" s="168">
        <f t="shared" si="27"/>
        <v>0</v>
      </c>
      <c r="Z210" s="115">
        <f t="shared" si="27"/>
        <v>0</v>
      </c>
      <c r="AB210" s="168">
        <f t="shared" si="28"/>
        <v>0</v>
      </c>
      <c r="AC210" s="115">
        <f t="shared" si="28"/>
        <v>0</v>
      </c>
      <c r="AE210" s="168">
        <f>IF(AE202=1,AE196,0)</f>
        <v>0</v>
      </c>
      <c r="AT210" s="513"/>
      <c r="AU210" s="513"/>
      <c r="AV210" s="513"/>
      <c r="AW210" s="514"/>
      <c r="AX210" s="513"/>
      <c r="AY210" s="513"/>
    </row>
    <row r="211" spans="1:51" s="115" customFormat="1" ht="12.75" hidden="1" customHeight="1">
      <c r="A211" s="115" t="s">
        <v>210</v>
      </c>
      <c r="B211" s="115">
        <f>IF(B203=1,B197,0)</f>
        <v>0</v>
      </c>
      <c r="D211" s="168">
        <f t="shared" si="20"/>
        <v>0</v>
      </c>
      <c r="E211" s="115">
        <f t="shared" si="20"/>
        <v>0</v>
      </c>
      <c r="G211" s="168">
        <f t="shared" si="21"/>
        <v>0</v>
      </c>
      <c r="H211" s="115">
        <f t="shared" si="21"/>
        <v>0</v>
      </c>
      <c r="J211" s="168">
        <f t="shared" si="22"/>
        <v>0</v>
      </c>
      <c r="K211" s="115">
        <f t="shared" si="22"/>
        <v>0</v>
      </c>
      <c r="M211" s="168">
        <f t="shared" si="23"/>
        <v>0</v>
      </c>
      <c r="N211" s="115">
        <f t="shared" si="23"/>
        <v>0</v>
      </c>
      <c r="P211" s="168">
        <f t="shared" si="24"/>
        <v>0</v>
      </c>
      <c r="Q211" s="115">
        <f t="shared" si="24"/>
        <v>0</v>
      </c>
      <c r="S211" s="168">
        <f t="shared" si="25"/>
        <v>0</v>
      </c>
      <c r="T211" s="115">
        <f t="shared" si="25"/>
        <v>0</v>
      </c>
      <c r="V211" s="168">
        <f t="shared" si="26"/>
        <v>0</v>
      </c>
      <c r="W211" s="115">
        <f t="shared" si="26"/>
        <v>0</v>
      </c>
      <c r="Y211" s="168">
        <f t="shared" si="27"/>
        <v>0</v>
      </c>
      <c r="Z211" s="115">
        <f t="shared" si="27"/>
        <v>0</v>
      </c>
      <c r="AB211" s="168">
        <f t="shared" si="28"/>
        <v>0</v>
      </c>
      <c r="AC211" s="115">
        <f t="shared" si="28"/>
        <v>0</v>
      </c>
      <c r="AE211" s="168">
        <f>IF(AE203=1,AE197,0)</f>
        <v>0</v>
      </c>
      <c r="AT211" s="513"/>
      <c r="AU211" s="513"/>
      <c r="AV211" s="513"/>
      <c r="AW211" s="514"/>
      <c r="AX211" s="513"/>
      <c r="AY211" s="513"/>
    </row>
    <row r="212" spans="1:51" s="115" customFormat="1" ht="12.75" hidden="1" customHeight="1">
      <c r="A212" s="115" t="s">
        <v>211</v>
      </c>
      <c r="B212" s="115">
        <f>IF(B204=1,B198,0)</f>
        <v>0</v>
      </c>
      <c r="D212" s="168">
        <f t="shared" si="20"/>
        <v>0</v>
      </c>
      <c r="E212" s="115">
        <f t="shared" si="20"/>
        <v>0</v>
      </c>
      <c r="G212" s="168">
        <f t="shared" si="21"/>
        <v>0</v>
      </c>
      <c r="H212" s="115">
        <f t="shared" si="21"/>
        <v>0</v>
      </c>
      <c r="J212" s="168">
        <f t="shared" si="22"/>
        <v>0</v>
      </c>
      <c r="K212" s="115">
        <f t="shared" si="22"/>
        <v>0</v>
      </c>
      <c r="M212" s="168">
        <f t="shared" si="23"/>
        <v>0</v>
      </c>
      <c r="N212" s="115">
        <f t="shared" si="23"/>
        <v>0</v>
      </c>
      <c r="P212" s="168">
        <f t="shared" si="24"/>
        <v>0</v>
      </c>
      <c r="Q212" s="115">
        <f t="shared" si="24"/>
        <v>0</v>
      </c>
      <c r="S212" s="168">
        <f t="shared" si="25"/>
        <v>0</v>
      </c>
      <c r="T212" s="115">
        <f t="shared" si="25"/>
        <v>0</v>
      </c>
      <c r="V212" s="168">
        <f t="shared" si="26"/>
        <v>0</v>
      </c>
      <c r="W212" s="115">
        <f t="shared" si="26"/>
        <v>0</v>
      </c>
      <c r="Y212" s="168">
        <f t="shared" si="27"/>
        <v>0</v>
      </c>
      <c r="Z212" s="115">
        <f t="shared" si="27"/>
        <v>0</v>
      </c>
      <c r="AB212" s="168">
        <f t="shared" si="28"/>
        <v>0</v>
      </c>
      <c r="AC212" s="115">
        <f t="shared" si="28"/>
        <v>0</v>
      </c>
      <c r="AE212" s="168">
        <f>IF(AE204=1,AE198,0)</f>
        <v>0</v>
      </c>
      <c r="AT212" s="513"/>
      <c r="AU212" s="513"/>
      <c r="AV212" s="513"/>
      <c r="AW212" s="514"/>
      <c r="AX212" s="513"/>
      <c r="AY212" s="513"/>
    </row>
    <row r="213" spans="1:51" s="115" customFormat="1" ht="12.75" hidden="1" customHeight="1">
      <c r="A213" s="115" t="s">
        <v>212</v>
      </c>
      <c r="B213" s="115">
        <f>IF(B205=1,B199,0)</f>
        <v>0</v>
      </c>
      <c r="D213" s="168">
        <f t="shared" si="20"/>
        <v>0</v>
      </c>
      <c r="E213" s="115">
        <f t="shared" si="20"/>
        <v>0</v>
      </c>
      <c r="G213" s="168">
        <f t="shared" si="21"/>
        <v>0</v>
      </c>
      <c r="H213" s="115">
        <f t="shared" si="21"/>
        <v>0</v>
      </c>
      <c r="J213" s="168">
        <f t="shared" si="22"/>
        <v>0</v>
      </c>
      <c r="K213" s="115">
        <f t="shared" si="22"/>
        <v>0</v>
      </c>
      <c r="M213" s="168">
        <f t="shared" si="23"/>
        <v>0</v>
      </c>
      <c r="N213" s="115">
        <f t="shared" si="23"/>
        <v>0</v>
      </c>
      <c r="P213" s="168">
        <f t="shared" si="24"/>
        <v>0</v>
      </c>
      <c r="Q213" s="115">
        <f t="shared" si="24"/>
        <v>0</v>
      </c>
      <c r="S213" s="168">
        <f t="shared" si="25"/>
        <v>0</v>
      </c>
      <c r="T213" s="115">
        <f t="shared" si="25"/>
        <v>0</v>
      </c>
      <c r="V213" s="168">
        <f t="shared" si="26"/>
        <v>0</v>
      </c>
      <c r="W213" s="115">
        <f t="shared" si="26"/>
        <v>0</v>
      </c>
      <c r="Y213" s="168">
        <f t="shared" si="27"/>
        <v>0</v>
      </c>
      <c r="Z213" s="115">
        <f t="shared" si="27"/>
        <v>0</v>
      </c>
      <c r="AB213" s="168">
        <f t="shared" si="28"/>
        <v>0</v>
      </c>
      <c r="AC213" s="115">
        <f t="shared" si="28"/>
        <v>0</v>
      </c>
      <c r="AE213" s="168">
        <f>IF(AE205=1,AE199,0)</f>
        <v>0</v>
      </c>
      <c r="AT213" s="513"/>
      <c r="AU213" s="513"/>
      <c r="AV213" s="513"/>
      <c r="AW213" s="514"/>
      <c r="AX213" s="513"/>
      <c r="AY213" s="513"/>
    </row>
    <row r="214" spans="1:51" s="115" customFormat="1" ht="38.25" hidden="1" customHeight="1">
      <c r="A214" s="167" t="s">
        <v>213</v>
      </c>
      <c r="B214" s="115">
        <f>SUM(B209:D213)</f>
        <v>39</v>
      </c>
      <c r="D214" s="168"/>
      <c r="E214" s="115">
        <f>SUM(E209:G213)</f>
        <v>41</v>
      </c>
      <c r="G214" s="168"/>
      <c r="H214" s="115">
        <f>SUM(H209:J213)</f>
        <v>39</v>
      </c>
      <c r="J214" s="168"/>
      <c r="K214" s="115">
        <f>SUM(K209:M213)</f>
        <v>0</v>
      </c>
      <c r="M214" s="168"/>
      <c r="N214" s="115">
        <f>SUM(N209:P213)</f>
        <v>0</v>
      </c>
      <c r="P214" s="168"/>
      <c r="Q214" s="115">
        <f>SUM(Q209:S213)</f>
        <v>0</v>
      </c>
      <c r="S214" s="168"/>
      <c r="T214" s="115">
        <f>SUM(T209:V213)</f>
        <v>0</v>
      </c>
      <c r="V214" s="168"/>
      <c r="W214" s="115">
        <f>SUM(W209:Y213)</f>
        <v>0</v>
      </c>
      <c r="Y214" s="168"/>
      <c r="Z214" s="115">
        <f>SUM(Z209:AB213)</f>
        <v>0</v>
      </c>
      <c r="AB214" s="168"/>
      <c r="AC214" s="115">
        <f>SUM(AC209:AE213)</f>
        <v>0</v>
      </c>
      <c r="AE214" s="168"/>
      <c r="AT214" s="513"/>
      <c r="AU214" s="513"/>
      <c r="AV214" s="513"/>
      <c r="AW214" s="514"/>
      <c r="AX214" s="513"/>
      <c r="AY214" s="513"/>
    </row>
    <row r="215" spans="1:51" s="115" customFormat="1" ht="38.25" hidden="1" customHeight="1">
      <c r="A215" s="115" t="s">
        <v>214</v>
      </c>
      <c r="D215" s="168"/>
      <c r="G215" s="168"/>
      <c r="J215" s="168"/>
      <c r="M215" s="168"/>
      <c r="P215" s="168"/>
      <c r="S215" s="168"/>
      <c r="V215" s="168"/>
      <c r="Y215" s="168"/>
      <c r="AB215" s="168"/>
      <c r="AE215" s="168"/>
      <c r="AF215" s="167" t="s">
        <v>215</v>
      </c>
      <c r="AG215" s="115" t="s">
        <v>216</v>
      </c>
      <c r="AT215" s="513"/>
      <c r="AU215" s="513"/>
      <c r="AV215" s="513"/>
      <c r="AW215" s="514"/>
      <c r="AX215" s="513"/>
      <c r="AY215" s="513"/>
    </row>
    <row r="216" spans="1:51" s="115" customFormat="1" ht="12.75" hidden="1" customHeight="1">
      <c r="A216" s="115" t="s">
        <v>38</v>
      </c>
      <c r="B216" s="115">
        <f>IF(B194=1,IF(B207=1,1,0),0)</f>
        <v>0</v>
      </c>
      <c r="D216" s="168">
        <f>IF(D194=1,IF(D207=1,1,0),0)</f>
        <v>0</v>
      </c>
      <c r="E216" s="115">
        <f>IF(E194=1,IF(E207=1,1,0),0)</f>
        <v>0</v>
      </c>
      <c r="G216" s="168">
        <f>IF(G194=1,IF(G207=1,1,0),0)</f>
        <v>0</v>
      </c>
      <c r="H216" s="115">
        <f>IF(H194=1,IF(H207=1,1,0),0)</f>
        <v>1</v>
      </c>
      <c r="J216" s="168">
        <f>IF(J194=1,IF(J207=1,1,0),0)</f>
        <v>0</v>
      </c>
      <c r="K216" s="115">
        <f>IF(K194=1,IF(K207=1,1,0),0)</f>
        <v>0</v>
      </c>
      <c r="M216" s="168">
        <f>IF(M194=1,IF(M207=1,1,0),0)</f>
        <v>0</v>
      </c>
      <c r="N216" s="115">
        <f>IF(N194=1,IF(N207=1,1,0),0)</f>
        <v>0</v>
      </c>
      <c r="P216" s="168">
        <f>IF(P194=1,IF(P207=1,1,0),0)</f>
        <v>0</v>
      </c>
      <c r="Q216" s="115">
        <f>IF(Q194=1,IF(Q207=1,1,0),0)</f>
        <v>0</v>
      </c>
      <c r="S216" s="168">
        <f>IF(S194=1,IF(S207=1,1,0),0)</f>
        <v>0</v>
      </c>
      <c r="T216" s="115">
        <f>IF(T194=1,IF(T207=1,1,0),0)</f>
        <v>0</v>
      </c>
      <c r="V216" s="168">
        <f>IF(V194=1,IF(V207=1,1,0),0)</f>
        <v>0</v>
      </c>
      <c r="W216" s="115">
        <f>IF(W194=1,IF(W207=1,1,0),0)</f>
        <v>0</v>
      </c>
      <c r="Y216" s="168">
        <f>IF(Y194=1,IF(Y207=1,1,0),0)</f>
        <v>0</v>
      </c>
      <c r="Z216" s="115">
        <f>IF(Z194=1,IF(Z207=1,1,0),0)</f>
        <v>0</v>
      </c>
      <c r="AB216" s="168">
        <f>IF(AB194=1,IF(AB207=1,1,0),0)</f>
        <v>0</v>
      </c>
      <c r="AC216" s="115">
        <f>IF(AC194=1,IF(AC207=1,1,0),0)</f>
        <v>0</v>
      </c>
      <c r="AE216" s="168">
        <f>IF(AE194=1,IF(AE207=1,1,0),0)</f>
        <v>0</v>
      </c>
      <c r="AF216" s="115">
        <f>SUM(B216:AE216)</f>
        <v>1</v>
      </c>
      <c r="AG216" s="115">
        <f>AF222-AF216</f>
        <v>0</v>
      </c>
      <c r="AT216" s="513"/>
      <c r="AU216" s="513"/>
      <c r="AV216" s="513"/>
      <c r="AW216" s="514"/>
      <c r="AX216" s="513"/>
      <c r="AY216" s="513"/>
    </row>
    <row r="217" spans="1:51" s="115" customFormat="1" ht="12.75" hidden="1" customHeight="1">
      <c r="A217" s="115" t="s">
        <v>39</v>
      </c>
      <c r="B217" s="115">
        <f>IF(B194=2,IF(B207=1,1,0),0)</f>
        <v>0</v>
      </c>
      <c r="D217" s="168">
        <f>IF(D194=2,IF(D207=1,1,0),0)</f>
        <v>0</v>
      </c>
      <c r="E217" s="115">
        <f>IF(E194=2,IF(E207=1,1,0),0)</f>
        <v>0</v>
      </c>
      <c r="G217" s="168">
        <f>IF(G194=2,IF(G207=1,1,0),0)</f>
        <v>0</v>
      </c>
      <c r="H217" s="115">
        <f>IF(H194=2,IF(H207=1,1,0),0)</f>
        <v>0</v>
      </c>
      <c r="J217" s="168">
        <f>IF(J194=2,IF(J207=1,1,0),0)</f>
        <v>0</v>
      </c>
      <c r="K217" s="115">
        <f>IF(K194=2,IF(K207=1,1,0),0)</f>
        <v>0</v>
      </c>
      <c r="M217" s="168">
        <f>IF(M194=2,IF(M207=1,1,0),0)</f>
        <v>0</v>
      </c>
      <c r="N217" s="115">
        <f>IF(N194=2,IF(N207=1,1,0),0)</f>
        <v>0</v>
      </c>
      <c r="P217" s="168">
        <f>IF(P194=2,IF(P207=1,1,0),0)</f>
        <v>0</v>
      </c>
      <c r="Q217" s="115">
        <f>IF(Q194=2,IF(Q207=1,1,0),0)</f>
        <v>0</v>
      </c>
      <c r="S217" s="168">
        <f>IF(S194=2,IF(S207=1,1,0),0)</f>
        <v>0</v>
      </c>
      <c r="T217" s="115">
        <f>IF(T194=2,IF(T207=1,1,0),0)</f>
        <v>0</v>
      </c>
      <c r="V217" s="168">
        <f>IF(V194=2,IF(V207=1,1,0),0)</f>
        <v>0</v>
      </c>
      <c r="W217" s="115">
        <f>IF(W194=2,IF(W207=1,1,0),0)</f>
        <v>0</v>
      </c>
      <c r="Y217" s="168">
        <f>IF(Y194=2,IF(Y207=1,1,0),0)</f>
        <v>0</v>
      </c>
      <c r="Z217" s="115">
        <f>IF(Z194=2,IF(Z207=1,1,0),0)</f>
        <v>0</v>
      </c>
      <c r="AB217" s="168">
        <f>IF(AB194=2,IF(AB207=1,1,0),0)</f>
        <v>0</v>
      </c>
      <c r="AC217" s="115">
        <f>IF(AC194=2,IF(AC207=1,1,0),0)</f>
        <v>0</v>
      </c>
      <c r="AE217" s="168">
        <f>IF(AE194=2,IF(AE207=1,1,0),0)</f>
        <v>0</v>
      </c>
      <c r="AF217" s="115">
        <f>SUM(B217:AE217)</f>
        <v>0</v>
      </c>
      <c r="AG217" s="115">
        <f>AF223-AF217</f>
        <v>0</v>
      </c>
      <c r="AT217" s="513"/>
      <c r="AU217" s="513"/>
      <c r="AV217" s="513"/>
      <c r="AW217" s="514"/>
      <c r="AX217" s="513"/>
      <c r="AY217" s="513"/>
    </row>
    <row r="218" spans="1:51" s="115" customFormat="1" ht="12.75" hidden="1" customHeight="1">
      <c r="A218" s="115" t="s">
        <v>40</v>
      </c>
      <c r="B218" s="115">
        <f>IF(B194=3,IF(B207=1,1,0),0)</f>
        <v>0</v>
      </c>
      <c r="D218" s="168">
        <f>IF(D194=3,IF(D207=1,1,0),0)</f>
        <v>0</v>
      </c>
      <c r="E218" s="115">
        <f>IF(E194=3,IF(E207=1,1,0),0)</f>
        <v>0</v>
      </c>
      <c r="G218" s="168">
        <f>IF(G194=3,IF(G207=1,1,0),0)</f>
        <v>0</v>
      </c>
      <c r="H218" s="115">
        <f>IF(H194=3,IF(H207=1,1,0),0)</f>
        <v>0</v>
      </c>
      <c r="J218" s="168">
        <f>IF(J194=3,IF(J207=1,1,0),0)</f>
        <v>0</v>
      </c>
      <c r="K218" s="115">
        <f>IF(K194=3,IF(K207=1,1,0),0)</f>
        <v>0</v>
      </c>
      <c r="M218" s="168">
        <f>IF(M194=3,IF(M207=1,1,0),0)</f>
        <v>0</v>
      </c>
      <c r="N218" s="115">
        <f>IF(N194=3,IF(N207=1,1,0),0)</f>
        <v>0</v>
      </c>
      <c r="P218" s="168">
        <f>IF(P194=3,IF(P207=1,1,0),0)</f>
        <v>0</v>
      </c>
      <c r="Q218" s="115">
        <f>IF(Q194=3,IF(Q207=1,1,0),0)</f>
        <v>0</v>
      </c>
      <c r="S218" s="168">
        <f>IF(S194=3,IF(S207=1,1,0),0)</f>
        <v>0</v>
      </c>
      <c r="T218" s="115">
        <f>IF(T194=3,IF(T207=1,1,0),0)</f>
        <v>0</v>
      </c>
      <c r="V218" s="168">
        <f>IF(V194=3,IF(V207=1,1,0),0)</f>
        <v>0</v>
      </c>
      <c r="W218" s="115">
        <f>IF(W194=3,IF(W207=1,1,0),0)</f>
        <v>0</v>
      </c>
      <c r="Y218" s="168">
        <f>IF(Y194=3,IF(Y207=1,1,0),0)</f>
        <v>0</v>
      </c>
      <c r="Z218" s="115">
        <f>IF(Z194=3,IF(Z207=1,1,0),0)</f>
        <v>0</v>
      </c>
      <c r="AB218" s="168">
        <f>IF(AB194=3,IF(AB207=1,1,0),0)</f>
        <v>0</v>
      </c>
      <c r="AC218" s="115">
        <f>IF(AC194=3,IF(AC207=1,1,0),0)</f>
        <v>0</v>
      </c>
      <c r="AE218" s="168">
        <f>IF(AE194=3,IF(AE207=1,1,0),0)</f>
        <v>0</v>
      </c>
      <c r="AF218" s="115">
        <f>SUM(B218:AE218)</f>
        <v>0</v>
      </c>
      <c r="AG218" s="115">
        <f>AF224-AF218</f>
        <v>1</v>
      </c>
      <c r="AT218" s="513"/>
      <c r="AU218" s="513"/>
      <c r="AV218" s="513"/>
      <c r="AW218" s="514"/>
      <c r="AX218" s="513"/>
      <c r="AY218" s="513"/>
    </row>
    <row r="219" spans="1:51" s="115" customFormat="1" ht="12.75" hidden="1" customHeight="1">
      <c r="A219" s="115" t="s">
        <v>41</v>
      </c>
      <c r="B219" s="115">
        <f>IF(B194=4,IF(B207=1,1,0),0)</f>
        <v>0</v>
      </c>
      <c r="D219" s="168">
        <f>IF(D194=4,IF(D207=1,1,0),0)</f>
        <v>0</v>
      </c>
      <c r="E219" s="115">
        <f>IF(E194=4,IF(E207=1,1,0),0)</f>
        <v>0</v>
      </c>
      <c r="G219" s="168">
        <f>IF(G194=4,IF(G207=1,1,0),0)</f>
        <v>0</v>
      </c>
      <c r="H219" s="115">
        <f>IF(H194=4,IF(H207=1,1,0),0)</f>
        <v>0</v>
      </c>
      <c r="J219" s="168">
        <f>IF(J194=4,IF(J207=1,1,0),0)</f>
        <v>0</v>
      </c>
      <c r="K219" s="115">
        <f>IF(K194=4,IF(K207=1,1,0),0)</f>
        <v>0</v>
      </c>
      <c r="M219" s="168">
        <f>IF(M194=4,IF(M207=1,1,0),0)</f>
        <v>0</v>
      </c>
      <c r="N219" s="115">
        <f>IF(N194=4,IF(N207=1,1,0),0)</f>
        <v>0</v>
      </c>
      <c r="P219" s="168">
        <f>IF(P194=4,IF(P207=1,1,0),0)</f>
        <v>0</v>
      </c>
      <c r="Q219" s="115">
        <f>IF(Q194=4,IF(Q207=1,1,0),0)</f>
        <v>0</v>
      </c>
      <c r="S219" s="168">
        <f>IF(S194=4,IF(S207=1,1,0),0)</f>
        <v>0</v>
      </c>
      <c r="T219" s="115">
        <f>IF(T194=4,IF(T207=1,1,0),0)</f>
        <v>0</v>
      </c>
      <c r="V219" s="168">
        <f>IF(V194=4,IF(V207=1,1,0),0)</f>
        <v>0</v>
      </c>
      <c r="W219" s="115">
        <f>IF(W194=4,IF(W207=1,1,0),0)</f>
        <v>0</v>
      </c>
      <c r="Y219" s="168">
        <f>IF(Y194=4,IF(Y207=1,1,0),0)</f>
        <v>0</v>
      </c>
      <c r="Z219" s="115">
        <f>IF(Z194=4,IF(Z207=1,1,0),0)</f>
        <v>0</v>
      </c>
      <c r="AB219" s="168">
        <f>IF(AB194=4,IF(AB207=1,1,0),0)</f>
        <v>0</v>
      </c>
      <c r="AC219" s="115">
        <f>IF(AC194=4,IF(AC207=1,1,0),0)</f>
        <v>0</v>
      </c>
      <c r="AE219" s="168">
        <f>IF(AE194=4,IF(AE207=1,1,0),0)</f>
        <v>0</v>
      </c>
      <c r="AF219" s="115">
        <f>SUM(B219:AE219)</f>
        <v>0</v>
      </c>
      <c r="AG219" s="115">
        <f>AF225-AF219</f>
        <v>0</v>
      </c>
      <c r="AT219" s="513"/>
      <c r="AU219" s="513"/>
      <c r="AV219" s="513"/>
      <c r="AW219" s="514"/>
      <c r="AX219" s="513"/>
      <c r="AY219" s="513"/>
    </row>
    <row r="220" spans="1:51" s="115" customFormat="1" ht="12.75" hidden="1" customHeight="1">
      <c r="A220" s="115" t="s">
        <v>42</v>
      </c>
      <c r="B220" s="115">
        <f>IF(B194=5,IF(B207=1,1,0),0)</f>
        <v>0</v>
      </c>
      <c r="D220" s="168">
        <f>IF(D194=5,IF(D207=1,1,0),0)</f>
        <v>0</v>
      </c>
      <c r="E220" s="115">
        <f>IF(E194=5,IF(E207=1,1,0),0)</f>
        <v>0</v>
      </c>
      <c r="G220" s="168">
        <f>IF(G194=5,IF(G207=1,1,0),0)</f>
        <v>0</v>
      </c>
      <c r="H220" s="115">
        <f>IF(H194=5,IF(H207=1,1,0),0)</f>
        <v>0</v>
      </c>
      <c r="J220" s="168">
        <f>IF(J194=5,IF(J207=1,1,0),0)</f>
        <v>0</v>
      </c>
      <c r="K220" s="115">
        <f>IF(K194=5,IF(K207=1,1,0),0)</f>
        <v>0</v>
      </c>
      <c r="M220" s="168">
        <f>IF(M194=5,IF(M207=1,1,0),0)</f>
        <v>0</v>
      </c>
      <c r="N220" s="115">
        <f>IF(N194=5,IF(N207=1,1,0),0)</f>
        <v>0</v>
      </c>
      <c r="P220" s="168">
        <f>IF(P194=5,IF(P207=1,1,0),0)</f>
        <v>0</v>
      </c>
      <c r="Q220" s="115">
        <f>IF(Q194=5,IF(Q207=1,1,0),0)</f>
        <v>0</v>
      </c>
      <c r="S220" s="168">
        <f>IF(S194=5,IF(S207=1,1,0),0)</f>
        <v>0</v>
      </c>
      <c r="T220" s="115">
        <f>IF(T194=5,IF(T207=1,1,0),0)</f>
        <v>0</v>
      </c>
      <c r="V220" s="168">
        <f>IF(V194=5,IF(V207=1,1,0),0)</f>
        <v>0</v>
      </c>
      <c r="W220" s="115">
        <f>IF(W194=5,IF(W207=1,1,0),0)</f>
        <v>0</v>
      </c>
      <c r="Y220" s="168">
        <f>IF(Y194=5,IF(Y207=1,1,0),0)</f>
        <v>0</v>
      </c>
      <c r="Z220" s="115">
        <f>IF(Z194=5,IF(Z207=1,1,0),0)</f>
        <v>0</v>
      </c>
      <c r="AB220" s="168">
        <f>IF(AB194=5,IF(AB207=1,1,0),0)</f>
        <v>0</v>
      </c>
      <c r="AC220" s="115">
        <f>IF(AC194=5,IF(AC207=1,1,0),0)</f>
        <v>0</v>
      </c>
      <c r="AE220" s="168">
        <f>IF(AE194=5,IF(AE207=1,1,0),0)</f>
        <v>0</v>
      </c>
      <c r="AF220" s="115">
        <f>SUM(B220:AE220)</f>
        <v>0</v>
      </c>
      <c r="AG220" s="115">
        <f>AF226-AF220</f>
        <v>0</v>
      </c>
      <c r="AT220" s="513"/>
      <c r="AU220" s="513"/>
      <c r="AV220" s="513"/>
      <c r="AW220" s="514"/>
      <c r="AX220" s="513"/>
      <c r="AY220" s="513"/>
    </row>
    <row r="221" spans="1:51" s="115" customFormat="1" ht="38.25" hidden="1" customHeight="1">
      <c r="A221" s="167"/>
      <c r="D221" s="168"/>
      <c r="G221" s="168"/>
      <c r="J221" s="168"/>
      <c r="M221" s="168"/>
      <c r="P221" s="168"/>
      <c r="S221" s="168"/>
      <c r="V221" s="168"/>
      <c r="Y221" s="168"/>
      <c r="AB221" s="168"/>
      <c r="AE221" s="168"/>
      <c r="AF221" s="167" t="s">
        <v>217</v>
      </c>
      <c r="AT221" s="513"/>
      <c r="AU221" s="513"/>
      <c r="AV221" s="513"/>
      <c r="AW221" s="514"/>
      <c r="AX221" s="513"/>
      <c r="AY221" s="513"/>
    </row>
    <row r="222" spans="1:51" s="115" customFormat="1" ht="12.75" hidden="1" customHeight="1">
      <c r="A222" s="115" t="s">
        <v>43</v>
      </c>
      <c r="B222" s="115">
        <f>IF(B194=1,IF(C207=1,1,0),0)</f>
        <v>0</v>
      </c>
      <c r="D222" s="168">
        <f>IF(D194=1,IF(C207=1,1,0),0)</f>
        <v>0</v>
      </c>
      <c r="E222" s="115">
        <f>IF(E194=1,IF(F207=1,1,0),0)</f>
        <v>0</v>
      </c>
      <c r="G222" s="168">
        <f>IF(G194=1,IF(F207=1,1,0),0)</f>
        <v>0</v>
      </c>
      <c r="H222" s="115">
        <f>IF(H194=1,IF(I207=1,1,0),0)</f>
        <v>1</v>
      </c>
      <c r="J222" s="168">
        <f>IF(J194=1,IF(I207=1,1,0),0)</f>
        <v>0</v>
      </c>
      <c r="K222" s="115">
        <f>IF(K194=1,IF(L207=1,1,0),0)</f>
        <v>0</v>
      </c>
      <c r="M222" s="168">
        <f>IF(M194=1,IF(L207=1,1,0),0)</f>
        <v>0</v>
      </c>
      <c r="N222" s="115">
        <f>IF(N194=1,IF(O207=1,1,0),0)</f>
        <v>0</v>
      </c>
      <c r="P222" s="168">
        <f>IF(P194=1,IF(O207=1,1,0),0)</f>
        <v>0</v>
      </c>
      <c r="Q222" s="115">
        <f>IF(Q194=1,IF(R207=1,1,0),0)</f>
        <v>0</v>
      </c>
      <c r="S222" s="168">
        <f>IF(S194=1,IF(R207=1,1,0),0)</f>
        <v>0</v>
      </c>
      <c r="T222" s="115">
        <f>IF(T194=1,IF(U207=1,1,0),0)</f>
        <v>0</v>
      </c>
      <c r="V222" s="168">
        <f>IF(V194=1,IF(U207=1,1,0),0)</f>
        <v>0</v>
      </c>
      <c r="W222" s="115">
        <f>IF(W194=1,IF(X207=1,1,0),0)</f>
        <v>0</v>
      </c>
      <c r="Y222" s="168">
        <f>IF(Y194=1,IF(X207=1,1,0),0)</f>
        <v>0</v>
      </c>
      <c r="Z222" s="115">
        <f>IF(Z194=1,IF(AA207=1,1,0),0)</f>
        <v>0</v>
      </c>
      <c r="AB222" s="168">
        <f>IF(AB194=1,IF(AA207=1,1,0),0)</f>
        <v>0</v>
      </c>
      <c r="AC222" s="115">
        <f>IF(AC194=1,IF(AD207=1,1,0),0)</f>
        <v>0</v>
      </c>
      <c r="AE222" s="168">
        <f>IF(AE194=1,IF(AD207=1,1,0),0)</f>
        <v>0</v>
      </c>
      <c r="AF222" s="115">
        <f>SUM(B222:AE222)</f>
        <v>1</v>
      </c>
      <c r="AT222" s="513"/>
      <c r="AU222" s="513"/>
      <c r="AV222" s="513"/>
      <c r="AW222" s="514"/>
      <c r="AX222" s="513"/>
      <c r="AY222" s="513"/>
    </row>
    <row r="223" spans="1:51" s="115" customFormat="1" ht="12.75" hidden="1" customHeight="1">
      <c r="A223" s="115" t="s">
        <v>44</v>
      </c>
      <c r="B223" s="115">
        <f>IF(B194=2,IF(C207=1,1,0),0)</f>
        <v>0</v>
      </c>
      <c r="D223" s="168">
        <f>IF(D194=2,IF(C207=1,1,0),0)</f>
        <v>0</v>
      </c>
      <c r="E223" s="115">
        <f>IF(E194=2,IF(F207=1,1,0),0)</f>
        <v>0</v>
      </c>
      <c r="G223" s="168">
        <f>IF(G194=2,IF(F207=1,1,0),0)</f>
        <v>0</v>
      </c>
      <c r="H223" s="115">
        <f>IF(H194=2,IF(I207=1,1,0),0)</f>
        <v>0</v>
      </c>
      <c r="J223" s="168">
        <f>IF(J194=2,IF(I207=1,1,0),0)</f>
        <v>0</v>
      </c>
      <c r="K223" s="115">
        <f>IF(K194=2,IF(L207=1,1,0),0)</f>
        <v>0</v>
      </c>
      <c r="M223" s="168">
        <f>IF(M194=2,IF(L207=1,1,0),0)</f>
        <v>0</v>
      </c>
      <c r="N223" s="115">
        <f>IF(N194=2,IF(O207=1,1,0),0)</f>
        <v>0</v>
      </c>
      <c r="P223" s="168">
        <f>IF(P194=2,IF(O207=1,1,0),0)</f>
        <v>0</v>
      </c>
      <c r="Q223" s="115">
        <f>IF(Q194=2,IF(R207=1,1,0),0)</f>
        <v>0</v>
      </c>
      <c r="S223" s="168">
        <f>IF(S194=2,IF(R207=1,1,0),0)</f>
        <v>0</v>
      </c>
      <c r="T223" s="115">
        <f>IF(T194=2,IF(U207=1,1,0),0)</f>
        <v>0</v>
      </c>
      <c r="V223" s="168">
        <f>IF(V194=2,IF(U207=1,1,0),0)</f>
        <v>0</v>
      </c>
      <c r="W223" s="115">
        <f>IF(W194=2,IF(X207=1,1,0),0)</f>
        <v>0</v>
      </c>
      <c r="Y223" s="168">
        <f>IF(Y194=2,IF(X207=1,1,0),0)</f>
        <v>0</v>
      </c>
      <c r="Z223" s="115">
        <f>IF(Z194=2,IF(AA207=1,1,0),0)</f>
        <v>0</v>
      </c>
      <c r="AB223" s="168">
        <f>IF(AB194=2,IF(AA207=1,1,0),0)</f>
        <v>0</v>
      </c>
      <c r="AC223" s="115">
        <f>IF(AC194=2,IF(AD207=1,1,0),0)</f>
        <v>0</v>
      </c>
      <c r="AE223" s="168">
        <f>IF(AE194=2,IF(AD207=1,1,0),0)</f>
        <v>0</v>
      </c>
      <c r="AF223" s="115">
        <f>SUM(B223:AE223)</f>
        <v>0</v>
      </c>
      <c r="AT223" s="513"/>
      <c r="AU223" s="513"/>
      <c r="AV223" s="513"/>
      <c r="AW223" s="514"/>
      <c r="AX223" s="513"/>
      <c r="AY223" s="513"/>
    </row>
    <row r="224" spans="1:51" s="115" customFormat="1" ht="12.75" hidden="1" customHeight="1">
      <c r="A224" s="115" t="s">
        <v>45</v>
      </c>
      <c r="B224" s="115">
        <f>IF(B194=3,IF(C207=1,1,0),0)</f>
        <v>0</v>
      </c>
      <c r="D224" s="168">
        <f>IF(D194=3,IF(C207=1,1,0),0)</f>
        <v>0</v>
      </c>
      <c r="E224" s="115">
        <f>IF(E194=3,IF(F207=1,1,0),0)</f>
        <v>0</v>
      </c>
      <c r="G224" s="168">
        <f>IF(G194=3,IF(F207=1,1,0),0)</f>
        <v>0</v>
      </c>
      <c r="H224" s="115">
        <f>IF(H194=3,IF(I207=1,1,0),0)</f>
        <v>0</v>
      </c>
      <c r="J224" s="168">
        <f>IF(J194=3,IF(I207=1,1,0),0)</f>
        <v>1</v>
      </c>
      <c r="K224" s="115">
        <f>IF(K194=3,IF(L207=1,1,0),0)</f>
        <v>0</v>
      </c>
      <c r="M224" s="168">
        <f>IF(M194=3,IF(L207=1,1,0),0)</f>
        <v>0</v>
      </c>
      <c r="N224" s="115">
        <f>IF(N194=3,IF(O207=1,1,0),0)</f>
        <v>0</v>
      </c>
      <c r="P224" s="168">
        <f>IF(P194=3,IF(O207=1,1,0),0)</f>
        <v>0</v>
      </c>
      <c r="Q224" s="115">
        <f>IF(Q194=3,IF(R207=1,1,0),0)</f>
        <v>0</v>
      </c>
      <c r="S224" s="168">
        <f>IF(S194=3,IF(R207=1,1,0),0)</f>
        <v>0</v>
      </c>
      <c r="T224" s="115">
        <f>IF(T194=3,IF(U207=1,1,0),0)</f>
        <v>0</v>
      </c>
      <c r="V224" s="168">
        <f>IF(V194=3,IF(U207=1,1,0),0)</f>
        <v>0</v>
      </c>
      <c r="W224" s="115">
        <f>IF(W194=3,IF(X207=1,1,0),0)</f>
        <v>0</v>
      </c>
      <c r="Y224" s="168">
        <f>IF(Y194=3,IF(X207=1,1,0),0)</f>
        <v>0</v>
      </c>
      <c r="Z224" s="115">
        <f>IF(Z194=3,IF(AA207=1,1,0),0)</f>
        <v>0</v>
      </c>
      <c r="AB224" s="168">
        <f>IF(AB194=3,IF(AA207=1,1,0),0)</f>
        <v>0</v>
      </c>
      <c r="AC224" s="115">
        <f>IF(AC194=3,IF(AD207=1,1,0),0)</f>
        <v>0</v>
      </c>
      <c r="AE224" s="168">
        <f>IF(AE194=3,IF(AD207=1,1,0),0)</f>
        <v>0</v>
      </c>
      <c r="AF224" s="115">
        <f>SUM(B224:AE224)</f>
        <v>1</v>
      </c>
      <c r="AT224" s="513"/>
      <c r="AU224" s="513"/>
      <c r="AV224" s="513"/>
      <c r="AW224" s="514"/>
      <c r="AX224" s="513"/>
      <c r="AY224" s="513"/>
    </row>
    <row r="225" spans="1:51" s="115" customFormat="1" ht="12.75" hidden="1" customHeight="1">
      <c r="A225" s="115" t="s">
        <v>46</v>
      </c>
      <c r="B225" s="115">
        <f>IF(B194=4,IF(C207=1,1,0),0)</f>
        <v>0</v>
      </c>
      <c r="D225" s="168">
        <f>IF(D194=4,IF(C207=1,1,0),0)</f>
        <v>0</v>
      </c>
      <c r="E225" s="115">
        <f>IF(E194=4,IF(F207=1,1,0),0)</f>
        <v>0</v>
      </c>
      <c r="G225" s="168">
        <f>IF(G194=4,IF(F207=1,1,0),0)</f>
        <v>0</v>
      </c>
      <c r="H225" s="115">
        <f>IF(H194=4,IF(I207=1,1,0),0)</f>
        <v>0</v>
      </c>
      <c r="J225" s="168">
        <f>IF(J194=4,IF(I207=1,1,0),0)</f>
        <v>0</v>
      </c>
      <c r="K225" s="115">
        <f>IF(K194=4,IF(L207=1,1,0),0)</f>
        <v>0</v>
      </c>
      <c r="M225" s="168">
        <f>IF(M194=4,IF(L207=1,1,0),0)</f>
        <v>0</v>
      </c>
      <c r="N225" s="115">
        <f>IF(N194=4,IF(O207=1,1,0),0)</f>
        <v>0</v>
      </c>
      <c r="P225" s="168">
        <f>IF(P194=4,IF(O207=1,1,0),0)</f>
        <v>0</v>
      </c>
      <c r="Q225" s="115">
        <f>IF(Q194=4,IF(R207=1,1,0),0)</f>
        <v>0</v>
      </c>
      <c r="S225" s="168">
        <f>IF(S194=4,IF(R207=1,1,0),0)</f>
        <v>0</v>
      </c>
      <c r="T225" s="115">
        <f>IF(T194=4,IF(U207=1,1,0),0)</f>
        <v>0</v>
      </c>
      <c r="V225" s="168">
        <f>IF(V194=4,IF(U207=1,1,0),0)</f>
        <v>0</v>
      </c>
      <c r="W225" s="115">
        <f>IF(W194=4,IF(X207=1,1,0),0)</f>
        <v>0</v>
      </c>
      <c r="Y225" s="168">
        <f>IF(Y194=4,IF(X207=1,1,0),0)</f>
        <v>0</v>
      </c>
      <c r="Z225" s="115">
        <f>IF(Z194=4,IF(AA207=1,1,0),0)</f>
        <v>0</v>
      </c>
      <c r="AB225" s="168">
        <f>IF(AB194=4,IF(AA207=1,1,0),0)</f>
        <v>0</v>
      </c>
      <c r="AC225" s="115">
        <f>IF(AC194=4,IF(AD207=1,1,0),0)</f>
        <v>0</v>
      </c>
      <c r="AE225" s="168">
        <f>IF(AE194=4,IF(AD207=1,1,0),0)</f>
        <v>0</v>
      </c>
      <c r="AF225" s="115">
        <f>SUM(B225:AE225)</f>
        <v>0</v>
      </c>
      <c r="AT225" s="513"/>
      <c r="AU225" s="513"/>
      <c r="AV225" s="513"/>
      <c r="AW225" s="514"/>
      <c r="AX225" s="513"/>
      <c r="AY225" s="513"/>
    </row>
    <row r="226" spans="1:51" s="115" customFormat="1" ht="12.75" hidden="1" customHeight="1">
      <c r="A226" s="115" t="s">
        <v>47</v>
      </c>
      <c r="B226" s="115">
        <f>IF(B194=5,IF(C207=1,1,0),0)</f>
        <v>0</v>
      </c>
      <c r="D226" s="168">
        <f>IF(D194=5,IF(C207=1,1,0),0)</f>
        <v>0</v>
      </c>
      <c r="E226" s="115">
        <f>IF(E194=5,IF(F207=1,1,0),0)</f>
        <v>0</v>
      </c>
      <c r="G226" s="168">
        <f>IF(G194=5,IF(F207=1,1,0),0)</f>
        <v>0</v>
      </c>
      <c r="H226" s="115">
        <f>IF(H194=5,IF(I207=1,1,0),0)</f>
        <v>0</v>
      </c>
      <c r="J226" s="168">
        <f>IF(J194=5,IF(I207=1,1,0),0)</f>
        <v>0</v>
      </c>
      <c r="K226" s="115">
        <f>IF(K194=5,IF(L207=1,1,0),0)</f>
        <v>0</v>
      </c>
      <c r="M226" s="168">
        <f>IF(M194=5,IF(L207=1,1,0),0)</f>
        <v>0</v>
      </c>
      <c r="N226" s="115">
        <f>IF(N194=5,IF(O207=1,1,0),0)</f>
        <v>0</v>
      </c>
      <c r="P226" s="168">
        <f>IF(P194=5,IF(O207=1,1,0),0)</f>
        <v>0</v>
      </c>
      <c r="Q226" s="115">
        <f>IF(Q194=5,IF(R207=1,1,0),0)</f>
        <v>0</v>
      </c>
      <c r="S226" s="168">
        <f>IF(S194=5,IF(R207=1,1,0),0)</f>
        <v>0</v>
      </c>
      <c r="T226" s="115">
        <f>IF(T194=5,IF(U207=1,1,0),0)</f>
        <v>0</v>
      </c>
      <c r="V226" s="168">
        <f>IF(V194=5,IF(U207=1,1,0),0)</f>
        <v>0</v>
      </c>
      <c r="W226" s="115">
        <f>IF(W194=5,IF(X207=1,1,0),0)</f>
        <v>0</v>
      </c>
      <c r="Y226" s="168">
        <f>IF(Y194=5,IF(X207=1,1,0),0)</f>
        <v>0</v>
      </c>
      <c r="Z226" s="115">
        <f>IF(Z194=5,IF(AA207=1,1,0),0)</f>
        <v>0</v>
      </c>
      <c r="AB226" s="168">
        <f>IF(AB194=5,IF(AA207=1,1,0),0)</f>
        <v>0</v>
      </c>
      <c r="AC226" s="115">
        <f>IF(AC194=5,IF(AD207=1,1,0),0)</f>
        <v>0</v>
      </c>
      <c r="AE226" s="168">
        <f>IF(AE194=5,IF(AD207=1,1,0),0)</f>
        <v>0</v>
      </c>
      <c r="AF226" s="115">
        <f>SUM(B226:AE226)</f>
        <v>0</v>
      </c>
      <c r="AT226" s="513"/>
      <c r="AU226" s="513"/>
      <c r="AV226" s="513"/>
      <c r="AW226" s="514"/>
      <c r="AX226" s="513"/>
      <c r="AY226" s="513"/>
    </row>
    <row r="227" spans="1:51" s="115" customFormat="1" ht="38.25" hidden="1" customHeight="1">
      <c r="A227" s="167"/>
      <c r="D227" s="168"/>
      <c r="G227" s="168"/>
      <c r="J227" s="168"/>
      <c r="M227" s="168"/>
      <c r="P227" s="168"/>
      <c r="S227" s="168"/>
      <c r="V227" s="168"/>
      <c r="Y227" s="168"/>
      <c r="AB227" s="168"/>
      <c r="AE227" s="168"/>
      <c r="AF227" s="167" t="s">
        <v>218</v>
      </c>
      <c r="AG227" s="392"/>
      <c r="AH227" s="392"/>
      <c r="AI227" s="392"/>
      <c r="AJ227" s="392"/>
      <c r="AK227" s="392"/>
      <c r="AT227" s="513"/>
      <c r="AU227" s="513"/>
      <c r="AV227" s="513"/>
      <c r="AW227" s="514"/>
      <c r="AX227" s="513"/>
      <c r="AY227" s="513"/>
    </row>
    <row r="228" spans="1:51" s="115" customFormat="1" ht="12.75" hidden="1" customHeight="1">
      <c r="A228" s="115" t="s">
        <v>43</v>
      </c>
      <c r="B228" s="115">
        <f>IF(B194=1,B214,0)</f>
        <v>39</v>
      </c>
      <c r="D228" s="168">
        <f>IF(D194=1,B214,0)</f>
        <v>0</v>
      </c>
      <c r="E228" s="115">
        <f>IF(E194=1,E214,0)</f>
        <v>0</v>
      </c>
      <c r="G228" s="168">
        <f>IF(G194=1,E214,0)</f>
        <v>0</v>
      </c>
      <c r="H228" s="115">
        <f>IF(H194=1,H214,0)</f>
        <v>39</v>
      </c>
      <c r="J228" s="168">
        <f>IF(J194=1,H214,0)</f>
        <v>0</v>
      </c>
      <c r="K228" s="115">
        <f>IF(K194=1,K214,0)</f>
        <v>0</v>
      </c>
      <c r="M228" s="168">
        <f>IF(M194=1,K214,0)</f>
        <v>0</v>
      </c>
      <c r="N228" s="115">
        <f>IF(N194=1,N214,0)</f>
        <v>0</v>
      </c>
      <c r="P228" s="168">
        <f>IF(P194=1,N214,0)</f>
        <v>0</v>
      </c>
      <c r="Q228" s="115">
        <f>IF(Q194=1,Q214,0)</f>
        <v>0</v>
      </c>
      <c r="S228" s="168">
        <f>IF(S194=1,Q214,0)</f>
        <v>0</v>
      </c>
      <c r="T228" s="115">
        <f>IF(T194=1,T214,0)</f>
        <v>0</v>
      </c>
      <c r="V228" s="168">
        <f>IF(V194=1,T214,0)</f>
        <v>0</v>
      </c>
      <c r="W228" s="115">
        <f>IF(W194=1,W214,0)</f>
        <v>0</v>
      </c>
      <c r="Y228" s="168">
        <f>IF(Y194=1,W214,0)</f>
        <v>0</v>
      </c>
      <c r="Z228" s="115">
        <f>IF(Z194=1,Z214,0)</f>
        <v>0</v>
      </c>
      <c r="AB228" s="168">
        <f>IF(AB194=1,Z214,0)</f>
        <v>0</v>
      </c>
      <c r="AC228" s="115">
        <f>IF(AC194=1,AC214,0)</f>
        <v>0</v>
      </c>
      <c r="AE228" s="168">
        <f>IF(AE194=1,AC214,0)</f>
        <v>0</v>
      </c>
      <c r="AF228" s="115">
        <f>SUM(B228:AE228)</f>
        <v>78</v>
      </c>
      <c r="AT228" s="513"/>
      <c r="AU228" s="513"/>
      <c r="AV228" s="513"/>
      <c r="AW228" s="514"/>
      <c r="AX228" s="513"/>
      <c r="AY228" s="513"/>
    </row>
    <row r="229" spans="1:51" s="115" customFormat="1" ht="12.75" hidden="1" customHeight="1">
      <c r="A229" s="115" t="s">
        <v>44</v>
      </c>
      <c r="B229" s="115">
        <f>IF(B194=2,B214,0)</f>
        <v>0</v>
      </c>
      <c r="D229" s="168">
        <f>IF(D194=2,B214,0)</f>
        <v>39</v>
      </c>
      <c r="E229" s="115">
        <f>IF(E194=2,E214,0)</f>
        <v>41</v>
      </c>
      <c r="G229" s="168">
        <f>IF(G194=2,E214,0)</f>
        <v>0</v>
      </c>
      <c r="H229" s="115">
        <f>IF(H194=2,H214,0)</f>
        <v>0</v>
      </c>
      <c r="J229" s="168">
        <f>IF(J194=2,H214,0)</f>
        <v>0</v>
      </c>
      <c r="K229" s="115">
        <f>IF(K194=2,K214,0)</f>
        <v>0</v>
      </c>
      <c r="M229" s="168">
        <f>IF(M194=2,K214,0)</f>
        <v>0</v>
      </c>
      <c r="N229" s="115">
        <f>IF(N194=2,N214,0)</f>
        <v>0</v>
      </c>
      <c r="P229" s="168">
        <f>IF(P194=2,N214,0)</f>
        <v>0</v>
      </c>
      <c r="Q229" s="115">
        <f>IF(Q194=2,Q214,0)</f>
        <v>0</v>
      </c>
      <c r="S229" s="168">
        <f>IF(S194=2,Q214,0)</f>
        <v>0</v>
      </c>
      <c r="T229" s="115">
        <f>IF(T194=2,T214,0)</f>
        <v>0</v>
      </c>
      <c r="V229" s="168">
        <f>IF(V194=2,T214,0)</f>
        <v>0</v>
      </c>
      <c r="W229" s="115">
        <f>IF(W194=2,W214,0)</f>
        <v>0</v>
      </c>
      <c r="Y229" s="168">
        <f>IF(Y194=2,W214,0)</f>
        <v>0</v>
      </c>
      <c r="Z229" s="115">
        <f>IF(Z194=2,Z214,0)</f>
        <v>0</v>
      </c>
      <c r="AB229" s="168">
        <f>IF(AB194=2,Z214,0)</f>
        <v>0</v>
      </c>
      <c r="AC229" s="115">
        <f>IF(AC194=2,AC214,0)</f>
        <v>0</v>
      </c>
      <c r="AE229" s="168">
        <f>IF(AE194=2,AC214,0)</f>
        <v>0</v>
      </c>
      <c r="AF229" s="115">
        <f>SUM(B229:AE229)</f>
        <v>80</v>
      </c>
      <c r="AT229" s="513"/>
      <c r="AU229" s="513"/>
      <c r="AV229" s="513"/>
      <c r="AW229" s="514"/>
      <c r="AX229" s="513"/>
      <c r="AY229" s="513"/>
    </row>
    <row r="230" spans="1:51" s="115" customFormat="1" ht="12.75" hidden="1" customHeight="1">
      <c r="A230" s="115" t="s">
        <v>45</v>
      </c>
      <c r="B230" s="115">
        <f>IF(B194=3,B214,0)</f>
        <v>0</v>
      </c>
      <c r="D230" s="168">
        <f>IF(D194=3,B214,0)</f>
        <v>0</v>
      </c>
      <c r="E230" s="115">
        <f>IF(E194=3,E214,0)</f>
        <v>0</v>
      </c>
      <c r="G230" s="168">
        <f>IF(G194=3,E214,0)</f>
        <v>41</v>
      </c>
      <c r="H230" s="115">
        <f>IF(H194=3,H214,0)</f>
        <v>0</v>
      </c>
      <c r="J230" s="168">
        <f>IF(J194=3,H214,0)</f>
        <v>39</v>
      </c>
      <c r="K230" s="115">
        <f>IF(K194=3,K214,0)</f>
        <v>0</v>
      </c>
      <c r="M230" s="168">
        <f>IF(M194=3,K214,0)</f>
        <v>0</v>
      </c>
      <c r="N230" s="115">
        <f>IF(N194=3,N214,0)</f>
        <v>0</v>
      </c>
      <c r="P230" s="168">
        <f>IF(P194=3,N214,0)</f>
        <v>0</v>
      </c>
      <c r="Q230" s="115">
        <f>IF(Q194=3,Q214,0)</f>
        <v>0</v>
      </c>
      <c r="S230" s="168">
        <f>IF(S194=3,Q214,0)</f>
        <v>0</v>
      </c>
      <c r="T230" s="115">
        <f>IF(T194=3,T214,0)</f>
        <v>0</v>
      </c>
      <c r="V230" s="168">
        <f>IF(V194=3,T214,0)</f>
        <v>0</v>
      </c>
      <c r="W230" s="115">
        <f>IF(W194=3,W214,0)</f>
        <v>0</v>
      </c>
      <c r="Y230" s="168">
        <f>IF(Y194=3,W214,0)</f>
        <v>0</v>
      </c>
      <c r="Z230" s="115">
        <f>IF(Z194=3,Z214,0)</f>
        <v>0</v>
      </c>
      <c r="AB230" s="168">
        <f>IF(AB194=3,Z214,0)</f>
        <v>0</v>
      </c>
      <c r="AC230" s="115">
        <f>IF(AC194=3,AC214,0)</f>
        <v>0</v>
      </c>
      <c r="AE230" s="168">
        <f>IF(AE194=3,AC214,0)</f>
        <v>0</v>
      </c>
      <c r="AF230" s="115">
        <f>SUM(B230:AE230)</f>
        <v>80</v>
      </c>
      <c r="AT230" s="513"/>
      <c r="AU230" s="513"/>
      <c r="AV230" s="513"/>
      <c r="AW230" s="514"/>
      <c r="AX230" s="513"/>
      <c r="AY230" s="513"/>
    </row>
    <row r="231" spans="1:51" s="115" customFormat="1" ht="12.75" hidden="1" customHeight="1">
      <c r="A231" s="115" t="s">
        <v>46</v>
      </c>
      <c r="B231" s="115">
        <f>IF(B194=4,B214,0)</f>
        <v>0</v>
      </c>
      <c r="D231" s="168">
        <f>IF(D194=4,B214,0)</f>
        <v>0</v>
      </c>
      <c r="E231" s="115">
        <f>IF(E194=4,E214,0)</f>
        <v>0</v>
      </c>
      <c r="G231" s="168">
        <f>IF(G194=4,E214,0)</f>
        <v>0</v>
      </c>
      <c r="H231" s="115">
        <f>IF(H194=4,H214,0)</f>
        <v>0</v>
      </c>
      <c r="J231" s="168">
        <f>IF(J194=4,H214,0)</f>
        <v>0</v>
      </c>
      <c r="K231" s="115">
        <f>IF(K194=4,K214,0)</f>
        <v>0</v>
      </c>
      <c r="M231" s="168">
        <f>IF(M194=4,K214,0)</f>
        <v>0</v>
      </c>
      <c r="N231" s="115">
        <f>IF(N194=4,N214,0)</f>
        <v>0</v>
      </c>
      <c r="P231" s="168">
        <f>IF(P194=4,N214,0)</f>
        <v>0</v>
      </c>
      <c r="Q231" s="115">
        <f>IF(Q194=4,Q214,0)</f>
        <v>0</v>
      </c>
      <c r="S231" s="168">
        <f>IF(S194=4,Q214,0)</f>
        <v>0</v>
      </c>
      <c r="T231" s="115">
        <f>IF(T194=4,T214,0)</f>
        <v>0</v>
      </c>
      <c r="V231" s="168">
        <f>IF(V194=4,T214,0)</f>
        <v>0</v>
      </c>
      <c r="W231" s="115">
        <f>IF(W194=4,W214,0)</f>
        <v>0</v>
      </c>
      <c r="Y231" s="168">
        <f>IF(Y194=4,W214,0)</f>
        <v>0</v>
      </c>
      <c r="Z231" s="115">
        <f>IF(Z194=4,Z214,0)</f>
        <v>0</v>
      </c>
      <c r="AB231" s="168">
        <f>IF(AB194=4,Z214,0)</f>
        <v>0</v>
      </c>
      <c r="AC231" s="115">
        <f>IF(AC194=4,AC214,0)</f>
        <v>0</v>
      </c>
      <c r="AE231" s="168">
        <f>IF(AE194=4,AC214,0)</f>
        <v>0</v>
      </c>
      <c r="AF231" s="115">
        <f>SUM(B231:AE231)</f>
        <v>0</v>
      </c>
      <c r="AT231" s="513"/>
      <c r="AU231" s="513"/>
      <c r="AV231" s="513"/>
      <c r="AW231" s="514"/>
      <c r="AX231" s="513"/>
      <c r="AY231" s="513"/>
    </row>
    <row r="232" spans="1:51" s="115" customFormat="1" ht="12.75" hidden="1" customHeight="1">
      <c r="A232" s="115" t="s">
        <v>47</v>
      </c>
      <c r="B232" s="115">
        <f>IF(B194=5,B214,0)</f>
        <v>0</v>
      </c>
      <c r="D232" s="168">
        <f>IF(D194=5,B214,0)</f>
        <v>0</v>
      </c>
      <c r="E232" s="115">
        <f>IF(E194=5,E214,0)</f>
        <v>0</v>
      </c>
      <c r="G232" s="168">
        <f>IF(G194=5,E214,0)</f>
        <v>0</v>
      </c>
      <c r="H232" s="115">
        <f>IF(H194=5,H214,0)</f>
        <v>0</v>
      </c>
      <c r="J232" s="168">
        <f>IF(J194=5,H214,0)</f>
        <v>0</v>
      </c>
      <c r="K232" s="115">
        <f>IF(K194=5,K214,0)</f>
        <v>0</v>
      </c>
      <c r="M232" s="168">
        <f>IF(M194=5,K214,0)</f>
        <v>0</v>
      </c>
      <c r="N232" s="115">
        <f>IF(N194=5,N214,0)</f>
        <v>0</v>
      </c>
      <c r="P232" s="168">
        <f>IF(P194=5,N214,0)</f>
        <v>0</v>
      </c>
      <c r="Q232" s="115">
        <f>IF(Q194=5,Q214,0)</f>
        <v>0</v>
      </c>
      <c r="S232" s="168">
        <f>IF(S194=5,Q214,0)</f>
        <v>0</v>
      </c>
      <c r="T232" s="115">
        <f>IF(T194=5,T214,0)</f>
        <v>0</v>
      </c>
      <c r="V232" s="168">
        <f>IF(V194=5,T214,0)</f>
        <v>0</v>
      </c>
      <c r="W232" s="115">
        <f>IF(W194=5,W214,0)</f>
        <v>0</v>
      </c>
      <c r="Y232" s="168">
        <f>IF(Y194=5,W214,0)</f>
        <v>0</v>
      </c>
      <c r="Z232" s="115">
        <f>IF(Z194=5,Z214,0)</f>
        <v>0</v>
      </c>
      <c r="AB232" s="168">
        <f>IF(AB194=5,Z214,0)</f>
        <v>0</v>
      </c>
      <c r="AC232" s="115">
        <f>IF(AC194=5,AC214,0)</f>
        <v>0</v>
      </c>
      <c r="AE232" s="168">
        <f>IF(AE194=5,AC214,0)</f>
        <v>0</v>
      </c>
      <c r="AF232" s="115">
        <f>SUM(B232:AE232)</f>
        <v>0</v>
      </c>
      <c r="AT232" s="513"/>
      <c r="AU232" s="513"/>
      <c r="AV232" s="513"/>
      <c r="AW232" s="514"/>
      <c r="AX232" s="513"/>
      <c r="AY232" s="513"/>
    </row>
    <row r="233" spans="1:51" s="115" customFormat="1" ht="38.25" hidden="1" customHeight="1">
      <c r="A233" s="115" t="s">
        <v>48</v>
      </c>
      <c r="D233" s="168"/>
      <c r="G233" s="168"/>
      <c r="J233" s="168"/>
      <c r="M233" s="168"/>
      <c r="P233" s="168"/>
      <c r="S233" s="168"/>
      <c r="V233" s="168"/>
      <c r="Y233" s="168"/>
      <c r="AB233" s="168"/>
      <c r="AE233" s="168"/>
      <c r="AF233" s="167" t="s">
        <v>219</v>
      </c>
      <c r="AG233" s="115" t="s">
        <v>220</v>
      </c>
      <c r="AT233" s="513"/>
      <c r="AU233" s="513"/>
      <c r="AV233" s="513"/>
      <c r="AW233" s="514"/>
      <c r="AX233" s="513"/>
      <c r="AY233" s="513"/>
    </row>
    <row r="234" spans="1:51" s="115" customFormat="1" ht="12.75" hidden="1" customHeight="1">
      <c r="A234" s="115" t="s">
        <v>38</v>
      </c>
      <c r="B234" s="115">
        <f>IF(B194=1,SUMIF(B201:B205,"&gt;0"),0)</f>
        <v>1</v>
      </c>
      <c r="D234" s="168">
        <f>IF(D194=1,SUMIF(D201:D205,"&gt;0"),0)</f>
        <v>0</v>
      </c>
      <c r="E234" s="115">
        <f>IF(E194=1,SUMIF(E201:E205,"&gt;0"),0)</f>
        <v>0</v>
      </c>
      <c r="G234" s="168">
        <f>IF(G194=1,SUMIF(G201:G205,"&gt;0"),0)</f>
        <v>0</v>
      </c>
      <c r="H234" s="115">
        <f>IF(H194=1,SUMIF(H201:H205,"&gt;0"),0)</f>
        <v>2</v>
      </c>
      <c r="J234" s="168">
        <f>IF(J194=1,SUMIF(J201:J205,"&gt;0"),0)</f>
        <v>0</v>
      </c>
      <c r="K234" s="115">
        <f>IF(K194=1,SUMIF(K201:K205,"&gt;0"),0)</f>
        <v>0</v>
      </c>
      <c r="M234" s="168">
        <f>IF(M194=1,SUMIF(M201:M205,"&gt;0"),0)</f>
        <v>0</v>
      </c>
      <c r="N234" s="115">
        <f>IF(N194=1,SUMIF(N201:N205,"&gt;0"),0)</f>
        <v>0</v>
      </c>
      <c r="P234" s="168">
        <f>IF(P194=1,SUMIF(P201:P205,"&gt;0"),0)</f>
        <v>0</v>
      </c>
      <c r="Q234" s="115">
        <f>IF(Q194=1,SUMIF(Q201:Q205,"&gt;0"),0)</f>
        <v>0</v>
      </c>
      <c r="S234" s="168">
        <f>IF(S194=1,SUMIF(S201:S205,"&gt;0"),0)</f>
        <v>0</v>
      </c>
      <c r="T234" s="115">
        <f>IF(T194=1,SUMIF(T201:T205,"&gt;0"),0)</f>
        <v>0</v>
      </c>
      <c r="V234" s="168">
        <f>IF(V194=1,SUMIF(V201:V205,"&gt;0"),0)</f>
        <v>0</v>
      </c>
      <c r="W234" s="115">
        <f>IF(W194=1,SUMIF(W201:W205,"&gt;0"),0)</f>
        <v>0</v>
      </c>
      <c r="Y234" s="168">
        <f>IF(Y194=1,SUMIF(Y201:Y205,"&gt;0"),0)</f>
        <v>0</v>
      </c>
      <c r="Z234" s="115">
        <f>IF(Z194=1,SUMIF(Z201:Z205,"&gt;0"),0)</f>
        <v>0</v>
      </c>
      <c r="AB234" s="168">
        <f>IF(AB194=1,SUMIF(AB201:AB205,"&gt;0"),0)</f>
        <v>0</v>
      </c>
      <c r="AC234" s="115">
        <f>IF(AC194=1,SUMIF(AC201:AC205,"&gt;0"),0)</f>
        <v>0</v>
      </c>
      <c r="AE234" s="168">
        <f>IF(AE194=1,SUMIF(AE201:AE205,"&gt;0"),0)</f>
        <v>0</v>
      </c>
      <c r="AF234" s="115">
        <f>SUM(B234:AE234)</f>
        <v>3</v>
      </c>
      <c r="AG234" s="115">
        <f>AF242-AF234</f>
        <v>1</v>
      </c>
      <c r="AT234" s="513"/>
      <c r="AU234" s="513"/>
      <c r="AV234" s="513"/>
      <c r="AW234" s="514"/>
      <c r="AX234" s="513"/>
      <c r="AY234" s="513"/>
    </row>
    <row r="235" spans="1:51" s="115" customFormat="1" ht="12.75" hidden="1" customHeight="1">
      <c r="A235" s="115" t="s">
        <v>39</v>
      </c>
      <c r="B235" s="115">
        <f>IF(B194=2,SUMIF(B201:B205,"&gt;0"),0)</f>
        <v>0</v>
      </c>
      <c r="D235" s="168">
        <f>IF(D194=2,SUMIF(D201:D205,"&gt;0"),0)</f>
        <v>1</v>
      </c>
      <c r="E235" s="115">
        <f>IF(E194=2,SUMIF(E201:E205,"&gt;0"),0)</f>
        <v>1</v>
      </c>
      <c r="G235" s="168">
        <f>IF(G194=2,SUMIF(G201:G205,"&gt;0"),0)</f>
        <v>0</v>
      </c>
      <c r="H235" s="115">
        <f>IF(H194=2,SUMIF(H201:H205,"&gt;0"),0)</f>
        <v>0</v>
      </c>
      <c r="J235" s="168">
        <f>IF(J194=2,SUMIF(J201:J205,"&gt;0"),0)</f>
        <v>0</v>
      </c>
      <c r="K235" s="115">
        <f>IF(K194=2,SUMIF(K201:K205,"&gt;0"),0)</f>
        <v>0</v>
      </c>
      <c r="M235" s="168">
        <f>IF(M194=2,SUMIF(M201:M205,"&gt;0"),0)</f>
        <v>0</v>
      </c>
      <c r="N235" s="115">
        <f>IF(N194=2,SUMIF(N201:N205,"&gt;0"),0)</f>
        <v>0</v>
      </c>
      <c r="P235" s="168">
        <f>IF(P194=2,SUMIF(P201:P205,"&gt;0"),0)</f>
        <v>0</v>
      </c>
      <c r="Q235" s="115">
        <f>IF(Q194=2,SUMIF(Q201:Q205,"&gt;0"),0)</f>
        <v>0</v>
      </c>
      <c r="S235" s="168">
        <f>IF(S194=2,SUMIF(S201:S205,"&gt;0"),0)</f>
        <v>0</v>
      </c>
      <c r="T235" s="115">
        <f>IF(T194=2,SUMIF(T201:T205,"&gt;0"),0)</f>
        <v>0</v>
      </c>
      <c r="V235" s="168">
        <f>IF(V194=2,SUMIF(V201:V205,"&gt;0"),0)</f>
        <v>0</v>
      </c>
      <c r="W235" s="115">
        <f>IF(W194=2,SUMIF(W201:W205,"&gt;0"),0)</f>
        <v>0</v>
      </c>
      <c r="Y235" s="168">
        <f>IF(Y194=2,SUMIF(Y201:Y205,"&gt;0"),0)</f>
        <v>0</v>
      </c>
      <c r="Z235" s="115">
        <f>IF(Z194=2,SUMIF(Z201:Z205,"&gt;0"),0)</f>
        <v>0</v>
      </c>
      <c r="AB235" s="168">
        <f>IF(AB194=2,SUMIF(AB201:AB205,"&gt;0"),0)</f>
        <v>0</v>
      </c>
      <c r="AC235" s="115">
        <f>IF(AC194=2,SUMIF(AC201:AC205,"&gt;0"),0)</f>
        <v>0</v>
      </c>
      <c r="AE235" s="168">
        <f>IF(AE194=2,SUMIF(AE201:AE205,"&gt;0"),0)</f>
        <v>0</v>
      </c>
      <c r="AF235" s="115">
        <f>SUM(B235:AE235)</f>
        <v>2</v>
      </c>
      <c r="AG235" s="115">
        <f>AF243-AF235</f>
        <v>2</v>
      </c>
      <c r="AT235" s="513"/>
      <c r="AU235" s="513"/>
      <c r="AV235" s="513"/>
      <c r="AW235" s="514"/>
      <c r="AX235" s="513"/>
      <c r="AY235" s="513"/>
    </row>
    <row r="236" spans="1:51" s="115" customFormat="1" ht="12.75" hidden="1" customHeight="1">
      <c r="A236" s="115" t="s">
        <v>40</v>
      </c>
      <c r="B236" s="115">
        <f>IF(B194=3,SUMIF(B201:B205,"&gt;0"),0)</f>
        <v>0</v>
      </c>
      <c r="D236" s="168">
        <f>IF(D194=3,SUMIF(D201:D205,"&gt;0"),0)</f>
        <v>0</v>
      </c>
      <c r="E236" s="115">
        <f>IF(E194=3,SUMIF(E201:E205,"&gt;0"),0)</f>
        <v>0</v>
      </c>
      <c r="G236" s="168">
        <f>IF(G194=3,SUMIF(G201:G205,"&gt;0"),0)</f>
        <v>1</v>
      </c>
      <c r="H236" s="115">
        <f>IF(H194=3,SUMIF(H201:H205,"&gt;0"),0)</f>
        <v>0</v>
      </c>
      <c r="J236" s="168">
        <f>IF(J194=3,SUMIF(J201:J205,"&gt;0"),0)</f>
        <v>0</v>
      </c>
      <c r="K236" s="115">
        <f>IF(K194=3,SUMIF(K201:K205,"&gt;0"),0)</f>
        <v>0</v>
      </c>
      <c r="M236" s="168">
        <f>IF(M194=3,SUMIF(M201:M205,"&gt;0"),0)</f>
        <v>0</v>
      </c>
      <c r="N236" s="115">
        <f>IF(N194=3,SUMIF(N201:N205,"&gt;0"),0)</f>
        <v>0</v>
      </c>
      <c r="P236" s="168">
        <f>IF(P194=3,SUMIF(P201:P205,"&gt;0"),0)</f>
        <v>0</v>
      </c>
      <c r="Q236" s="115">
        <f>IF(Q194=3,SUMIF(Q201:Q205,"&gt;0"),0)</f>
        <v>0</v>
      </c>
      <c r="S236" s="168">
        <f>IF(S194=3,SUMIF(S201:S205,"&gt;0"),0)</f>
        <v>0</v>
      </c>
      <c r="T236" s="115">
        <f>IF(T194=3,SUMIF(T201:T205,"&gt;0"),0)</f>
        <v>0</v>
      </c>
      <c r="V236" s="168">
        <f>IF(V194=3,SUMIF(V201:V205,"&gt;0"),0)</f>
        <v>0</v>
      </c>
      <c r="W236" s="115">
        <f>IF(W194=3,SUMIF(W201:W205,"&gt;0"),0)</f>
        <v>0</v>
      </c>
      <c r="Y236" s="168">
        <f>IF(Y194=3,SUMIF(Y201:Y205,"&gt;0"),0)</f>
        <v>0</v>
      </c>
      <c r="Z236" s="115">
        <f>IF(Z194=3,SUMIF(Z201:Z205,"&gt;0"),0)</f>
        <v>0</v>
      </c>
      <c r="AB236" s="168">
        <f>IF(AB194=3,SUMIF(AB201:AB205,"&gt;0"),0)</f>
        <v>0</v>
      </c>
      <c r="AC236" s="115">
        <f>IF(AC194=3,SUMIF(AC201:AC205,"&gt;0"),0)</f>
        <v>0</v>
      </c>
      <c r="AE236" s="168">
        <f>IF(AE194=3,SUMIF(AE201:AE205,"&gt;0"),0)</f>
        <v>0</v>
      </c>
      <c r="AF236" s="115">
        <f>SUM(B236:AE236)</f>
        <v>1</v>
      </c>
      <c r="AG236" s="115">
        <f>AF244-AF236</f>
        <v>3</v>
      </c>
      <c r="AT236" s="513"/>
      <c r="AU236" s="513"/>
      <c r="AV236" s="513"/>
      <c r="AW236" s="514"/>
      <c r="AX236" s="513"/>
      <c r="AY236" s="513"/>
    </row>
    <row r="237" spans="1:51" s="115" customFormat="1" ht="12.75" hidden="1" customHeight="1">
      <c r="A237" s="115" t="s">
        <v>41</v>
      </c>
      <c r="B237" s="115">
        <f>IF(B194=4,SUMIF(B201:B205,"&gt;0"),0)</f>
        <v>0</v>
      </c>
      <c r="D237" s="168">
        <f>IF(D194=4,SUMIF(D201:D205,"&gt;0"),0)</f>
        <v>0</v>
      </c>
      <c r="E237" s="115">
        <f>IF(E194=4,SUMIF(E201:E205,"&gt;0"),0)</f>
        <v>0</v>
      </c>
      <c r="G237" s="168">
        <f>IF(G194=4,SUMIF(G201:G205,"&gt;0"),0)</f>
        <v>0</v>
      </c>
      <c r="H237" s="115">
        <f>IF(H194=4,SUMIF(H201:H205,"&gt;0"),0)</f>
        <v>0</v>
      </c>
      <c r="J237" s="168">
        <f>IF(J194=4,SUMIF(J201:J205,"&gt;0"),0)</f>
        <v>0</v>
      </c>
      <c r="K237" s="115">
        <f>IF(K194=4,SUMIF(K201:K205,"&gt;0"),0)</f>
        <v>0</v>
      </c>
      <c r="M237" s="168">
        <f>IF(M194=4,SUMIF(M201:M205,"&gt;0"),0)</f>
        <v>0</v>
      </c>
      <c r="N237" s="115">
        <f>IF(N194=4,SUMIF(N201:N205,"&gt;0"),0)</f>
        <v>0</v>
      </c>
      <c r="P237" s="168">
        <f>IF(P194=4,SUMIF(P201:P205,"&gt;0"),0)</f>
        <v>0</v>
      </c>
      <c r="Q237" s="115">
        <f>IF(Q194=4,SUMIF(Q201:Q205,"&gt;0"),0)</f>
        <v>0</v>
      </c>
      <c r="S237" s="168">
        <f>IF(S194=4,SUMIF(S201:S205,"&gt;0"),0)</f>
        <v>0</v>
      </c>
      <c r="T237" s="115">
        <f>IF(T194=4,SUMIF(T201:T205,"&gt;0"),0)</f>
        <v>0</v>
      </c>
      <c r="V237" s="168">
        <f>IF(V194=4,SUMIF(V201:V205,"&gt;0"),0)</f>
        <v>0</v>
      </c>
      <c r="W237" s="115">
        <f>IF(W194=4,SUMIF(W201:W205,"&gt;0"),0)</f>
        <v>0</v>
      </c>
      <c r="Y237" s="168">
        <f>IF(Y194=4,SUMIF(Y201:Y205,"&gt;0"),0)</f>
        <v>0</v>
      </c>
      <c r="Z237" s="115">
        <f>IF(Z194=4,SUMIF(Z201:Z205,"&gt;0"),0)</f>
        <v>0</v>
      </c>
      <c r="AB237" s="168">
        <f>IF(AB194=4,SUMIF(AB201:AB205,"&gt;0"),0)</f>
        <v>0</v>
      </c>
      <c r="AC237" s="115">
        <f>IF(AC194=4,SUMIF(AC201:AC205,"&gt;0"),0)</f>
        <v>0</v>
      </c>
      <c r="AE237" s="168">
        <f>IF(AE194=4,SUMIF(AE201:AE205,"&gt;0"),0)</f>
        <v>0</v>
      </c>
      <c r="AF237" s="115">
        <f>SUM(B237:AE237)</f>
        <v>0</v>
      </c>
      <c r="AG237" s="115">
        <f>AF245-AF237</f>
        <v>0</v>
      </c>
      <c r="AT237" s="513"/>
      <c r="AU237" s="513"/>
      <c r="AV237" s="513"/>
      <c r="AW237" s="514"/>
      <c r="AX237" s="513"/>
      <c r="AY237" s="513"/>
    </row>
    <row r="238" spans="1:51" s="115" customFormat="1" ht="12.75" hidden="1" customHeight="1">
      <c r="A238" s="115" t="s">
        <v>42</v>
      </c>
      <c r="B238" s="115">
        <f>IF(B194=5,SUMIF(B201:B205,"&gt;0"),0)</f>
        <v>0</v>
      </c>
      <c r="D238" s="168">
        <f>IF(D194=5,SUMIF(D201:D205,"&gt;0"),0)</f>
        <v>0</v>
      </c>
      <c r="E238" s="115">
        <f>IF(E194=5,SUMIF(E201:E205,"&gt;0"),0)</f>
        <v>0</v>
      </c>
      <c r="G238" s="168">
        <f>IF(G194=5,SUMIF(G201:G205,"&gt;0"),0)</f>
        <v>0</v>
      </c>
      <c r="H238" s="115">
        <f>IF(H194=5,SUMIF(H201:H205,"&gt;0"),0)</f>
        <v>0</v>
      </c>
      <c r="J238" s="168">
        <f>IF(J194=5,SUMIF(J201:J205,"&gt;0"),0)</f>
        <v>0</v>
      </c>
      <c r="K238" s="115">
        <f>IF(K194=5,SUMIF(K201:K205,"&gt;0"),0)</f>
        <v>0</v>
      </c>
      <c r="M238" s="168">
        <f>IF(M194=5,SUMIF(M201:M205,"&gt;0"),0)</f>
        <v>0</v>
      </c>
      <c r="N238" s="115">
        <f>IF(N194=5,SUMIF(N201:N205,"&gt;0"),0)</f>
        <v>0</v>
      </c>
      <c r="P238" s="168">
        <f>IF(P194=5,SUMIF(P201:P205,"&gt;0"),0)</f>
        <v>0</v>
      </c>
      <c r="Q238" s="115">
        <f>IF(Q194=5,SUMIF(Q201:Q205,"&gt;0"),0)</f>
        <v>0</v>
      </c>
      <c r="S238" s="168">
        <f>IF(S194=5,SUMIF(S201:S205,"&gt;0"),0)</f>
        <v>0</v>
      </c>
      <c r="T238" s="115">
        <f>IF(T194=5,SUMIF(T201:T205,"&gt;0"),0)</f>
        <v>0</v>
      </c>
      <c r="V238" s="168">
        <f>IF(V194=5,SUMIF(V201:V205,"&gt;0"),0)</f>
        <v>0</v>
      </c>
      <c r="W238" s="115">
        <f>IF(W194=5,SUMIF(W201:W205,"&gt;0"),0)</f>
        <v>0</v>
      </c>
      <c r="Y238" s="168">
        <f>IF(Y194=5,SUMIF(Y201:Y205,"&gt;0"),0)</f>
        <v>0</v>
      </c>
      <c r="Z238" s="115">
        <f>IF(Z194=5,SUMIF(Z201:Z205,"&gt;0"),0)</f>
        <v>0</v>
      </c>
      <c r="AB238" s="168">
        <f>IF(AB194=5,SUMIF(AB201:AB205,"&gt;0"),0)</f>
        <v>0</v>
      </c>
      <c r="AC238" s="115">
        <f>IF(AC194=5,SUMIF(AC201:AC205,"&gt;0"),0)</f>
        <v>0</v>
      </c>
      <c r="AE238" s="168">
        <f>IF(AE194=5,SUMIF(AE201:AE205,"&gt;0"),0)</f>
        <v>0</v>
      </c>
      <c r="AF238" s="115">
        <f>SUM(B238:AE238)</f>
        <v>0</v>
      </c>
      <c r="AG238" s="115">
        <f>AF246-AF238</f>
        <v>0</v>
      </c>
      <c r="AT238" s="513"/>
      <c r="AU238" s="513"/>
      <c r="AV238" s="513"/>
      <c r="AW238" s="514"/>
      <c r="AX238" s="513"/>
      <c r="AY238" s="513"/>
    </row>
    <row r="239" spans="1:51" s="115" customFormat="1" ht="12.75" hidden="1" customHeight="1">
      <c r="D239" s="168"/>
      <c r="G239" s="168"/>
      <c r="J239" s="168"/>
      <c r="M239" s="168"/>
      <c r="P239" s="168"/>
      <c r="S239" s="168"/>
      <c r="V239" s="168"/>
      <c r="Y239" s="168"/>
      <c r="AB239" s="168"/>
      <c r="AE239" s="168"/>
      <c r="AT239" s="513"/>
      <c r="AU239" s="513"/>
      <c r="AV239" s="513"/>
      <c r="AW239" s="514"/>
      <c r="AX239" s="513"/>
      <c r="AY239" s="513"/>
    </row>
    <row r="240" spans="1:51" s="115" customFormat="1" ht="12.75" hidden="1" customHeight="1">
      <c r="D240" s="168"/>
      <c r="G240" s="168"/>
      <c r="J240" s="168"/>
      <c r="M240" s="168"/>
      <c r="P240" s="168"/>
      <c r="S240" s="168"/>
      <c r="V240" s="168"/>
      <c r="Y240" s="168"/>
      <c r="AB240" s="168"/>
      <c r="AE240" s="168"/>
      <c r="AT240" s="513"/>
      <c r="AU240" s="513"/>
      <c r="AV240" s="513"/>
      <c r="AW240" s="514"/>
      <c r="AX240" s="513"/>
      <c r="AY240" s="513"/>
    </row>
    <row r="241" spans="1:54" s="115" customFormat="1" ht="51" hidden="1" customHeight="1">
      <c r="A241" s="167" t="s">
        <v>221</v>
      </c>
      <c r="C241" s="115">
        <f>SUMIF(B234:D238,"&gt;0")</f>
        <v>2</v>
      </c>
      <c r="D241" s="168"/>
      <c r="F241" s="115">
        <f>SUMIF(E234:G238,"&gt;0")</f>
        <v>2</v>
      </c>
      <c r="G241" s="168"/>
      <c r="I241" s="115">
        <f>SUMIF(H234:J238,"&gt;0")</f>
        <v>2</v>
      </c>
      <c r="J241" s="168"/>
      <c r="L241" s="115">
        <f>SUMIF(K234:M238,"&gt;0")</f>
        <v>0</v>
      </c>
      <c r="M241" s="168"/>
      <c r="O241" s="115">
        <f>SUMIF(N234:P238,"&gt;0")</f>
        <v>0</v>
      </c>
      <c r="P241" s="168"/>
      <c r="R241" s="115">
        <f>SUMIF(Q234:S238,"&gt;0")</f>
        <v>0</v>
      </c>
      <c r="S241" s="168"/>
      <c r="U241" s="115">
        <f>SUMIF(T234:V238,"&gt;0")</f>
        <v>0</v>
      </c>
      <c r="V241" s="168"/>
      <c r="X241" s="115">
        <f>SUMIF(W234:Y238,"&gt;0")</f>
        <v>0</v>
      </c>
      <c r="Y241" s="168"/>
      <c r="AA241" s="115">
        <f>SUMIF(Z234:AB238,"&gt;0")</f>
        <v>0</v>
      </c>
      <c r="AB241" s="168"/>
      <c r="AD241" s="115">
        <f>SUMIF(AC234:AE238,"&gt;0")</f>
        <v>0</v>
      </c>
      <c r="AE241" s="168"/>
      <c r="AF241" s="167" t="s">
        <v>222</v>
      </c>
      <c r="AT241" s="513"/>
      <c r="AU241" s="513"/>
      <c r="AV241" s="513"/>
      <c r="AW241" s="514"/>
      <c r="AX241" s="513"/>
      <c r="AY241" s="513"/>
    </row>
    <row r="242" spans="1:54" s="115" customFormat="1" ht="12.75" hidden="1" customHeight="1">
      <c r="A242" s="115" t="s">
        <v>43</v>
      </c>
      <c r="B242" s="115">
        <f>IF(B194=1,C241,0)</f>
        <v>2</v>
      </c>
      <c r="D242" s="168">
        <f>IF(D194=1,C241,0)</f>
        <v>0</v>
      </c>
      <c r="E242" s="115">
        <f>IF(E194=1,F241,0)</f>
        <v>0</v>
      </c>
      <c r="G242" s="168">
        <f>IF(G194=1,F241,0)</f>
        <v>0</v>
      </c>
      <c r="H242" s="115">
        <f>IF(H194=1,I241,0)</f>
        <v>2</v>
      </c>
      <c r="J242" s="168">
        <f>IF(J194=1,I241,0)</f>
        <v>0</v>
      </c>
      <c r="K242" s="115">
        <f>IF(K194=1,L241,0)</f>
        <v>0</v>
      </c>
      <c r="M242" s="168">
        <f>IF(M194=1,L241,0)</f>
        <v>0</v>
      </c>
      <c r="N242" s="115">
        <f>IF(N194=1,O241,0)</f>
        <v>0</v>
      </c>
      <c r="P242" s="168">
        <f>IF(P194=1,O241,0)</f>
        <v>0</v>
      </c>
      <c r="Q242" s="115">
        <f>IF(Q194=1,R241,0)</f>
        <v>0</v>
      </c>
      <c r="S242" s="168">
        <f>IF(S194=1,R241,0)</f>
        <v>0</v>
      </c>
      <c r="T242" s="115">
        <f>IF(T194=1,U241,0)</f>
        <v>0</v>
      </c>
      <c r="V242" s="168">
        <f>IF(V194=1,U241,0)</f>
        <v>0</v>
      </c>
      <c r="W242" s="115">
        <f>IF(W194=1,X241,0)</f>
        <v>0</v>
      </c>
      <c r="Y242" s="168">
        <f>IF(Y194=1,X241,0)</f>
        <v>0</v>
      </c>
      <c r="Z242" s="115">
        <f>IF(Z194=1,AA241,0)</f>
        <v>0</v>
      </c>
      <c r="AB242" s="168">
        <f>IF(AB194=1,AA241,0)</f>
        <v>0</v>
      </c>
      <c r="AC242" s="115">
        <f>IF(AC194=1,AD241,0)</f>
        <v>0</v>
      </c>
      <c r="AE242" s="168">
        <f>IF(AE194=1,AD241,0)</f>
        <v>0</v>
      </c>
      <c r="AF242" s="115">
        <f>SUM(B242:AE242)</f>
        <v>4</v>
      </c>
      <c r="AT242" s="513"/>
      <c r="AU242" s="513"/>
      <c r="AV242" s="513"/>
      <c r="AW242" s="514"/>
      <c r="AX242" s="513"/>
      <c r="AY242" s="513"/>
    </row>
    <row r="243" spans="1:54" s="115" customFormat="1" ht="12.75" hidden="1" customHeight="1">
      <c r="A243" s="115" t="s">
        <v>44</v>
      </c>
      <c r="B243" s="115">
        <f>IF(B194=2,C241,0)</f>
        <v>0</v>
      </c>
      <c r="D243" s="168">
        <f>IF(D194=2,C241,0)</f>
        <v>2</v>
      </c>
      <c r="E243" s="115">
        <f>IF(E194=2,F241,0)</f>
        <v>2</v>
      </c>
      <c r="G243" s="168">
        <f>IF(G194=2,F241,0)</f>
        <v>0</v>
      </c>
      <c r="H243" s="115">
        <f>IF(H194=2,I241,0)</f>
        <v>0</v>
      </c>
      <c r="J243" s="168">
        <f>IF(J194=2,I241,0)</f>
        <v>0</v>
      </c>
      <c r="K243" s="115">
        <f>IF(K194=2,L241,0)</f>
        <v>0</v>
      </c>
      <c r="M243" s="168">
        <f>IF(M194=2,L241,0)</f>
        <v>0</v>
      </c>
      <c r="N243" s="115">
        <f>IF(N194=2,O241,0)</f>
        <v>0</v>
      </c>
      <c r="P243" s="168">
        <f>IF(P194=2,O241,0)</f>
        <v>0</v>
      </c>
      <c r="Q243" s="115">
        <f>IF(Q194=2,R241,0)</f>
        <v>0</v>
      </c>
      <c r="S243" s="168">
        <f>IF(S194=2,R241,0)</f>
        <v>0</v>
      </c>
      <c r="T243" s="115">
        <f>IF(T194=2,U241,0)</f>
        <v>0</v>
      </c>
      <c r="V243" s="168">
        <f>IF(V194=2,U241,0)</f>
        <v>0</v>
      </c>
      <c r="W243" s="115">
        <f>IF(W194=2,X241,0)</f>
        <v>0</v>
      </c>
      <c r="Y243" s="168">
        <f>IF(Y194=2,X241,0)</f>
        <v>0</v>
      </c>
      <c r="Z243" s="115">
        <f>IF(Z194=2,AA241,0)</f>
        <v>0</v>
      </c>
      <c r="AB243" s="168">
        <f>IF(AB194=2,AA241,0)</f>
        <v>0</v>
      </c>
      <c r="AC243" s="115">
        <f>IF(AC194=2,AD241,0)</f>
        <v>0</v>
      </c>
      <c r="AE243" s="168">
        <f>IF(AE194=2,AD241,0)</f>
        <v>0</v>
      </c>
      <c r="AF243" s="115">
        <f>SUM(B243:AE243)</f>
        <v>4</v>
      </c>
      <c r="AT243" s="513"/>
      <c r="AU243" s="513"/>
      <c r="AV243" s="513"/>
      <c r="AW243" s="514"/>
      <c r="AX243" s="513"/>
      <c r="AY243" s="513"/>
    </row>
    <row r="244" spans="1:54" s="115" customFormat="1" ht="12.75" hidden="1" customHeight="1">
      <c r="A244" s="115" t="s">
        <v>45</v>
      </c>
      <c r="B244" s="115">
        <f>IF(B194=3,C241,0)</f>
        <v>0</v>
      </c>
      <c r="D244" s="168">
        <f>IF(D194=3,C241,0)</f>
        <v>0</v>
      </c>
      <c r="E244" s="115">
        <f>IF(E194=3,F241,0)</f>
        <v>0</v>
      </c>
      <c r="G244" s="168">
        <f>IF(G194=3,F241,0)</f>
        <v>2</v>
      </c>
      <c r="H244" s="115">
        <f>IF(H194=3,I241,0)</f>
        <v>0</v>
      </c>
      <c r="J244" s="168">
        <f>IF(J194=3,I241,0)</f>
        <v>2</v>
      </c>
      <c r="K244" s="115">
        <f>IF(K194=3,L241,0)</f>
        <v>0</v>
      </c>
      <c r="M244" s="168">
        <f>IF(M194=3,L241,0)</f>
        <v>0</v>
      </c>
      <c r="N244" s="115">
        <f>IF(N194=3,O241,0)</f>
        <v>0</v>
      </c>
      <c r="P244" s="168">
        <f>IF(P194=3,O241,0)</f>
        <v>0</v>
      </c>
      <c r="Q244" s="115">
        <f>IF(Q194=3,R241,0)</f>
        <v>0</v>
      </c>
      <c r="S244" s="168">
        <f>IF(S194=3,R241,0)</f>
        <v>0</v>
      </c>
      <c r="T244" s="115">
        <f>IF(T194=3,U241,0)</f>
        <v>0</v>
      </c>
      <c r="V244" s="168">
        <f>IF(V194=3,U241,0)</f>
        <v>0</v>
      </c>
      <c r="W244" s="115">
        <f>IF(W194=3,X241,0)</f>
        <v>0</v>
      </c>
      <c r="Y244" s="168">
        <f>IF(Y194=3,X241,0)</f>
        <v>0</v>
      </c>
      <c r="Z244" s="115">
        <f>IF(Z194=3,AA241,0)</f>
        <v>0</v>
      </c>
      <c r="AB244" s="168">
        <f>IF(AB194=3,AA241,0)</f>
        <v>0</v>
      </c>
      <c r="AC244" s="115">
        <f>IF(AC194=3,AD241,0)</f>
        <v>0</v>
      </c>
      <c r="AE244" s="168">
        <f>IF(AE194=3,AD241,0)</f>
        <v>0</v>
      </c>
      <c r="AF244" s="115">
        <f>SUM(B244:AE244)</f>
        <v>4</v>
      </c>
      <c r="AT244" s="513"/>
      <c r="AU244" s="513"/>
      <c r="AV244" s="513"/>
      <c r="AW244" s="514"/>
      <c r="AX244" s="513"/>
      <c r="AY244" s="513"/>
    </row>
    <row r="245" spans="1:54" s="115" customFormat="1" ht="12.75" hidden="1" customHeight="1">
      <c r="A245" s="115" t="s">
        <v>46</v>
      </c>
      <c r="B245" s="115">
        <f>IF(B194=4,C241,0)</f>
        <v>0</v>
      </c>
      <c r="D245" s="168">
        <f>IF(D194=4,C241,0)</f>
        <v>0</v>
      </c>
      <c r="E245" s="115">
        <f>IF(E194=4,F241,0)</f>
        <v>0</v>
      </c>
      <c r="G245" s="168">
        <f>IF(G194=4,F241,0)</f>
        <v>0</v>
      </c>
      <c r="H245" s="115">
        <f>IF(H194=4,I241,0)</f>
        <v>0</v>
      </c>
      <c r="J245" s="168">
        <f>IF(J194=4,I241,0)</f>
        <v>0</v>
      </c>
      <c r="K245" s="115">
        <f>IF(K194=4,L241,0)</f>
        <v>0</v>
      </c>
      <c r="M245" s="168">
        <f>IF(M194=4,L241,0)</f>
        <v>0</v>
      </c>
      <c r="N245" s="115">
        <f>IF(N194=4,O241,0)</f>
        <v>0</v>
      </c>
      <c r="P245" s="168">
        <f>IF(P194=4,O241,0)</f>
        <v>0</v>
      </c>
      <c r="Q245" s="115">
        <f>IF(Q194=4,R241,0)</f>
        <v>0</v>
      </c>
      <c r="S245" s="168">
        <f>IF(S194=4,R241,0)</f>
        <v>0</v>
      </c>
      <c r="T245" s="115">
        <f>IF(T194=4,U241,0)</f>
        <v>0</v>
      </c>
      <c r="V245" s="168">
        <f>IF(V194=4,U241,0)</f>
        <v>0</v>
      </c>
      <c r="W245" s="115">
        <f>IF(W194=4,X241,0)</f>
        <v>0</v>
      </c>
      <c r="Y245" s="168">
        <f>IF(Y194=4,X241,0)</f>
        <v>0</v>
      </c>
      <c r="Z245" s="115">
        <f>IF(Z194=4,AA241,0)</f>
        <v>0</v>
      </c>
      <c r="AB245" s="168">
        <f>IF(AB194=4,AA241,0)</f>
        <v>0</v>
      </c>
      <c r="AC245" s="115">
        <f>IF(AC194=4,AD241,0)</f>
        <v>0</v>
      </c>
      <c r="AE245" s="168">
        <f>IF(AE194=4,AD241,0)</f>
        <v>0</v>
      </c>
      <c r="AF245" s="115">
        <f>SUM(B245:AE245)</f>
        <v>0</v>
      </c>
      <c r="AT245" s="513"/>
      <c r="AU245" s="513"/>
      <c r="AV245" s="513"/>
      <c r="AW245" s="514"/>
      <c r="AX245" s="513"/>
      <c r="AY245" s="513"/>
    </row>
    <row r="246" spans="1:54" s="115" customFormat="1" ht="12.75" hidden="1" customHeight="1">
      <c r="A246" s="115" t="s">
        <v>47</v>
      </c>
      <c r="B246" s="115">
        <f>IF(B194=5,C241,0)</f>
        <v>0</v>
      </c>
      <c r="D246" s="168">
        <f>IF(D194=5,C241,0)</f>
        <v>0</v>
      </c>
      <c r="E246" s="115">
        <f>IF(E194=5,F241,0)</f>
        <v>0</v>
      </c>
      <c r="G246" s="168">
        <f>IF(G194=5,F241,0)</f>
        <v>0</v>
      </c>
      <c r="H246" s="115">
        <f>IF(H194=5,I241,0)</f>
        <v>0</v>
      </c>
      <c r="J246" s="168">
        <f>IF(J194=5,I241,0)</f>
        <v>0</v>
      </c>
      <c r="K246" s="115">
        <f>IF(K194=5,L241,0)</f>
        <v>0</v>
      </c>
      <c r="M246" s="168">
        <f>IF(M194=5,L241,0)</f>
        <v>0</v>
      </c>
      <c r="N246" s="115">
        <f>IF(N194=5,O241,0)</f>
        <v>0</v>
      </c>
      <c r="P246" s="168">
        <f>IF(P194=5,O241,0)</f>
        <v>0</v>
      </c>
      <c r="Q246" s="115">
        <f>IF(Q194=5,R241,0)</f>
        <v>0</v>
      </c>
      <c r="S246" s="168">
        <f>IF(S194=5,R241,0)</f>
        <v>0</v>
      </c>
      <c r="T246" s="115">
        <f>IF(T194=5,U241,0)</f>
        <v>0</v>
      </c>
      <c r="V246" s="168">
        <f>IF(V194=5,U241,0)</f>
        <v>0</v>
      </c>
      <c r="W246" s="115">
        <f>IF(W194=5,X241,0)</f>
        <v>0</v>
      </c>
      <c r="Y246" s="168">
        <f>IF(Y194=5,X241,0)</f>
        <v>0</v>
      </c>
      <c r="Z246" s="115">
        <f>IF(Z194=5,AA241,0)</f>
        <v>0</v>
      </c>
      <c r="AB246" s="168">
        <f>IF(AB194=5,AA241,0)</f>
        <v>0</v>
      </c>
      <c r="AC246" s="115">
        <f>IF(AC194=5,AD241,0)</f>
        <v>0</v>
      </c>
      <c r="AE246" s="168">
        <f>IF(AE194=5,AD241,0)</f>
        <v>0</v>
      </c>
      <c r="AF246" s="115">
        <f>SUM(B246:AE246)</f>
        <v>0</v>
      </c>
      <c r="AT246" s="513"/>
      <c r="AU246" s="513"/>
      <c r="AV246" s="513"/>
      <c r="AW246" s="514"/>
      <c r="AX246" s="513"/>
      <c r="AY246" s="513"/>
    </row>
    <row r="247" spans="1:54" hidden="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c r="W247" s="118"/>
      <c r="X247" s="118"/>
      <c r="Y247" s="118"/>
      <c r="Z247" s="118"/>
      <c r="AA247" s="118"/>
      <c r="AB247" s="118"/>
      <c r="AC247" s="118"/>
      <c r="AD247" s="118"/>
      <c r="AE247" s="118"/>
      <c r="AF247" s="118"/>
      <c r="AG247" s="118"/>
      <c r="AH247" s="118"/>
      <c r="AI247" s="118"/>
      <c r="AJ247" s="118"/>
      <c r="AK247" s="118"/>
      <c r="AL247" s="118"/>
      <c r="AM247" s="118"/>
      <c r="AN247" s="119"/>
      <c r="AO247" s="119"/>
      <c r="AP247" s="119"/>
      <c r="AQ247" s="119"/>
      <c r="AR247" s="117"/>
      <c r="AS247" s="117"/>
      <c r="AT247" s="513"/>
      <c r="AU247" s="513"/>
      <c r="AV247" s="513"/>
      <c r="BB247" s="39"/>
    </row>
    <row r="248" spans="1:54" s="117" customFormat="1" hidden="1">
      <c r="A248" s="34"/>
      <c r="B248" s="34"/>
      <c r="C248" s="34" t="s">
        <v>223</v>
      </c>
      <c r="D248" s="34">
        <v>1</v>
      </c>
      <c r="E248" s="34"/>
      <c r="F248" s="34"/>
      <c r="G248" s="34">
        <v>2</v>
      </c>
      <c r="H248" s="34"/>
      <c r="I248" s="34"/>
      <c r="J248" s="34">
        <v>3</v>
      </c>
      <c r="K248" s="34"/>
      <c r="L248" s="34"/>
      <c r="M248" s="34">
        <v>4</v>
      </c>
      <c r="N248" s="34"/>
      <c r="O248" s="34"/>
      <c r="P248" s="34">
        <v>5</v>
      </c>
      <c r="Q248" s="34"/>
      <c r="R248" s="34"/>
      <c r="S248" s="34">
        <v>6</v>
      </c>
      <c r="T248" s="34"/>
      <c r="U248" s="34"/>
      <c r="V248" s="34">
        <v>7</v>
      </c>
      <c r="W248" s="34"/>
      <c r="X248" s="34"/>
      <c r="Y248" s="34">
        <v>8</v>
      </c>
      <c r="Z248" s="34"/>
      <c r="AA248" s="34"/>
      <c r="AB248" s="34">
        <v>9</v>
      </c>
      <c r="AC248" s="34"/>
      <c r="AD248" s="34"/>
      <c r="AE248" s="34">
        <v>10</v>
      </c>
      <c r="AF248" s="3"/>
      <c r="AG248" s="34"/>
      <c r="AI248" s="169"/>
      <c r="AJ248" s="3"/>
      <c r="AK248" s="3"/>
      <c r="AL248" s="3"/>
      <c r="AM248" s="3"/>
      <c r="AN248" s="3"/>
      <c r="AO248" s="3"/>
      <c r="AT248" s="515" t="s">
        <v>224</v>
      </c>
      <c r="AU248" s="513"/>
      <c r="AV248" s="513"/>
      <c r="AW248" s="514"/>
      <c r="AX248" s="513"/>
      <c r="AY248" s="513"/>
      <c r="BB248" s="170"/>
    </row>
    <row r="249" spans="1:54" s="117" customFormat="1" hidden="1">
      <c r="A249" s="171">
        <v>1</v>
      </c>
      <c r="B249" s="171" t="str">
        <f>E178</f>
        <v>Magnum Aiken 12 Green</v>
      </c>
      <c r="C249" s="171">
        <f>VLOOKUP(B249,AU$3:BB$33,3,FALSE)</f>
        <v>1429.6517072742154</v>
      </c>
      <c r="D249" s="171">
        <f>IF(B242,B257,IF(D242,D257,C249))</f>
        <v>1425.4271692810119</v>
      </c>
      <c r="E249" s="171"/>
      <c r="F249" s="171"/>
      <c r="G249" s="171">
        <f>IF(E242,E257,IF(G242,G257,D249))</f>
        <v>1425.4271692810119</v>
      </c>
      <c r="H249" s="171"/>
      <c r="I249" s="171"/>
      <c r="J249" s="171">
        <f>IF(H242,H257,IF(J242,J257,G249))</f>
        <v>1445.1361227091788</v>
      </c>
      <c r="K249" s="171"/>
      <c r="L249" s="171"/>
      <c r="M249" s="171">
        <f>IF(K242,K257,IF(M242,M257,J249))</f>
        <v>1445.1361227091788</v>
      </c>
      <c r="N249" s="171"/>
      <c r="O249" s="171"/>
      <c r="P249" s="171">
        <f>IF(N242,N257,IF(P242,P257,M249))</f>
        <v>1445.1361227091788</v>
      </c>
      <c r="Q249" s="171"/>
      <c r="R249" s="171"/>
      <c r="S249" s="171">
        <f>IF(Q242,Q257,IF(S242,S257,P249))</f>
        <v>1445.1361227091788</v>
      </c>
      <c r="T249" s="171"/>
      <c r="U249" s="171"/>
      <c r="V249" s="171">
        <f>IF(T242,T257,IF(V242,V257,S249))</f>
        <v>1445.1361227091788</v>
      </c>
      <c r="W249" s="171"/>
      <c r="X249" s="171"/>
      <c r="Y249" s="171">
        <f>IF(W242,W257,IF(Y242,Y257,V249))</f>
        <v>1445.1361227091788</v>
      </c>
      <c r="Z249" s="171"/>
      <c r="AA249" s="171"/>
      <c r="AB249" s="171">
        <f>IF(Z242,Z257,IF(AB242,AB257,Y249))</f>
        <v>1445.1361227091788</v>
      </c>
      <c r="AC249" s="171"/>
      <c r="AD249" s="171"/>
      <c r="AE249" s="171">
        <f>IF(AC242,AC257,IF(AE242,AE257,AB249))</f>
        <v>1445.1361227091788</v>
      </c>
      <c r="AF249" s="3"/>
      <c r="AG249" s="3"/>
      <c r="AJ249" s="3"/>
      <c r="AK249" s="3"/>
      <c r="AL249" s="3"/>
      <c r="AM249" s="3"/>
      <c r="AN249" s="3"/>
      <c r="AO249" s="3"/>
      <c r="AT249" s="513" t="str">
        <f>B249</f>
        <v>Magnum Aiken 12 Green</v>
      </c>
      <c r="AU249" s="513">
        <f>AE249</f>
        <v>1445.1361227091788</v>
      </c>
      <c r="AV249" s="513"/>
      <c r="AW249" s="514"/>
      <c r="AX249" s="513"/>
      <c r="AY249" s="513"/>
      <c r="BB249" s="170"/>
    </row>
    <row r="250" spans="1:54" s="117" customFormat="1" hidden="1">
      <c r="A250" s="171">
        <v>2</v>
      </c>
      <c r="B250" s="171" t="str">
        <f>E180</f>
        <v>USA 12 Blue</v>
      </c>
      <c r="C250" s="171">
        <f>VLOOKUP(B250,AU$3:BB$33,3,FALSE)</f>
        <v>1367.8516260143563</v>
      </c>
      <c r="D250" s="171">
        <f>IF(B243,B257,IF(D243,D257,C250))</f>
        <v>1372.0761640075598</v>
      </c>
      <c r="E250" s="171"/>
      <c r="F250" s="171"/>
      <c r="G250" s="171">
        <f>IF(E243,E257,IF(G243,G257,D250))</f>
        <v>1371.375662705266</v>
      </c>
      <c r="H250" s="171"/>
      <c r="I250" s="171"/>
      <c r="J250" s="171">
        <f>IF(H243,H257,IF(J243,J257,G250))</f>
        <v>1371.375662705266</v>
      </c>
      <c r="K250" s="171"/>
      <c r="L250" s="171"/>
      <c r="M250" s="171">
        <f>IF(K243,K257,IF(M243,M257,J250))</f>
        <v>1371.375662705266</v>
      </c>
      <c r="N250" s="171"/>
      <c r="O250" s="171"/>
      <c r="P250" s="171">
        <f>IF(N243,N257,IF(P243,P257,M250))</f>
        <v>1371.375662705266</v>
      </c>
      <c r="Q250" s="171"/>
      <c r="R250" s="171"/>
      <c r="S250" s="171">
        <f>IF(Q243,Q257,IF(S243,S257,P250))</f>
        <v>1371.375662705266</v>
      </c>
      <c r="T250" s="171"/>
      <c r="U250" s="171"/>
      <c r="V250" s="171">
        <f>IF(T243,T257,IF(V243,V257,S250))</f>
        <v>1371.375662705266</v>
      </c>
      <c r="W250" s="171"/>
      <c r="X250" s="171"/>
      <c r="Y250" s="171">
        <f>IF(W243,W257,IF(Y243,Y257,V250))</f>
        <v>1371.375662705266</v>
      </c>
      <c r="Z250" s="171"/>
      <c r="AA250" s="171"/>
      <c r="AB250" s="171">
        <f>IF(Z243,Z257,IF(AB243,AB257,Y250))</f>
        <v>1371.375662705266</v>
      </c>
      <c r="AC250" s="171"/>
      <c r="AD250" s="171"/>
      <c r="AE250" s="171">
        <f>IF(AC243,AC257,IF(AE243,AE257,AB250))</f>
        <v>1371.375662705266</v>
      </c>
      <c r="AF250" s="3"/>
      <c r="AG250" s="3"/>
      <c r="AJ250" s="3"/>
      <c r="AL250" s="3"/>
      <c r="AM250" s="3"/>
      <c r="AN250" s="3"/>
      <c r="AO250" s="3"/>
      <c r="AT250" s="513" t="str">
        <f>B250</f>
        <v>USA 12 Blue</v>
      </c>
      <c r="AU250" s="513">
        <f>AE250</f>
        <v>1371.375662705266</v>
      </c>
      <c r="AV250" s="513"/>
      <c r="AW250" s="514"/>
      <c r="AX250" s="513"/>
      <c r="AY250" s="513"/>
      <c r="BB250" s="170"/>
    </row>
    <row r="251" spans="1:54" s="117" customFormat="1" hidden="1">
      <c r="A251" s="171">
        <v>3</v>
      </c>
      <c r="B251" s="171" t="str">
        <f>E182</f>
        <v>Magnum 12 Red</v>
      </c>
      <c r="C251" s="171">
        <f>VLOOKUP(B251,AU$3:BB$33,3,FALSE)</f>
        <v>1361.9324878368475</v>
      </c>
      <c r="D251" s="171">
        <f>IF(B244,B257,IF(D244,D257,C251))</f>
        <v>1361.9324878368475</v>
      </c>
      <c r="E251" s="171"/>
      <c r="F251" s="171"/>
      <c r="G251" s="171">
        <f>IF(E244,E257,IF(G244,G257,D251))</f>
        <v>1362.6329891391413</v>
      </c>
      <c r="H251" s="171"/>
      <c r="I251" s="171"/>
      <c r="J251" s="171">
        <f>IF(H244,H257,IF(J244,J257,G251))</f>
        <v>1342.9240357109743</v>
      </c>
      <c r="K251" s="171"/>
      <c r="L251" s="171"/>
      <c r="M251" s="171">
        <f>IF(K244,K257,IF(M244,M257,J251))</f>
        <v>1342.9240357109743</v>
      </c>
      <c r="N251" s="171"/>
      <c r="O251" s="171"/>
      <c r="P251" s="171">
        <f>IF(N244,N257,IF(P244,P257,M251))</f>
        <v>1342.9240357109743</v>
      </c>
      <c r="Q251" s="171"/>
      <c r="R251" s="171"/>
      <c r="S251" s="171">
        <f>IF(Q244,Q257,IF(S244,S257,P251))</f>
        <v>1342.9240357109743</v>
      </c>
      <c r="T251" s="171"/>
      <c r="U251" s="171"/>
      <c r="V251" s="171">
        <f>IF(T244,T257,IF(V244,V257,S251))</f>
        <v>1342.9240357109743</v>
      </c>
      <c r="W251" s="171"/>
      <c r="X251" s="171"/>
      <c r="Y251" s="171">
        <f>IF(W244,W257,IF(Y244,Y257,V251))</f>
        <v>1342.9240357109743</v>
      </c>
      <c r="Z251" s="171"/>
      <c r="AA251" s="171"/>
      <c r="AB251" s="171">
        <f>IF(Z244,Z257,IF(AB244,AB257,Y251))</f>
        <v>1342.9240357109743</v>
      </c>
      <c r="AC251" s="171"/>
      <c r="AD251" s="171"/>
      <c r="AE251" s="171">
        <f>IF(AC244,AC257,IF(AE244,AE257,AB251))</f>
        <v>1342.9240357109743</v>
      </c>
      <c r="AF251" s="3"/>
      <c r="AG251" s="3"/>
      <c r="AJ251" s="3"/>
      <c r="AL251" s="3"/>
      <c r="AM251" s="3"/>
      <c r="AN251" s="3"/>
      <c r="AO251" s="3"/>
      <c r="AT251" s="513" t="str">
        <f>B251</f>
        <v>Magnum 12 Red</v>
      </c>
      <c r="AU251" s="513">
        <f>AE251</f>
        <v>1342.9240357109743</v>
      </c>
      <c r="AV251" s="513"/>
      <c r="AW251" s="514"/>
      <c r="AX251" s="513"/>
      <c r="AY251" s="513"/>
      <c r="BB251" s="170"/>
    </row>
    <row r="252" spans="1:54" s="117" customFormat="1" hidden="1">
      <c r="A252" s="171">
        <v>4</v>
      </c>
      <c r="B252" s="171" t="str">
        <f>E184</f>
        <v>Team 10</v>
      </c>
      <c r="C252" s="171">
        <f>VLOOKUP(B252,AU$3:BB$33,3,FALSE)</f>
        <v>2010</v>
      </c>
      <c r="D252" s="171">
        <f>IF(B245,B257,IF(D245,D257,C252))</f>
        <v>2010</v>
      </c>
      <c r="E252" s="171"/>
      <c r="F252" s="171"/>
      <c r="G252" s="171">
        <f>IF(E245,E257,IF(G245,G257,D252))</f>
        <v>2010</v>
      </c>
      <c r="H252" s="171"/>
      <c r="I252" s="171"/>
      <c r="J252" s="171">
        <f>IF(H245,H257,IF(J245,J257,G252))</f>
        <v>2010</v>
      </c>
      <c r="K252" s="171"/>
      <c r="L252" s="171"/>
      <c r="M252" s="171">
        <f>IF(K245,K257,IF(M245,M257,J252))</f>
        <v>2010</v>
      </c>
      <c r="N252" s="171"/>
      <c r="O252" s="171"/>
      <c r="P252" s="171">
        <f>IF(N245,N257,IF(P245,P257,M252))</f>
        <v>2010</v>
      </c>
      <c r="Q252" s="171"/>
      <c r="R252" s="171"/>
      <c r="S252" s="171">
        <f>IF(Q245,Q257,IF(S245,S257,P252))</f>
        <v>2010</v>
      </c>
      <c r="T252" s="171"/>
      <c r="U252" s="171"/>
      <c r="V252" s="171">
        <f>IF(T245,T257,IF(V245,V257,S252))</f>
        <v>2010</v>
      </c>
      <c r="W252" s="171"/>
      <c r="X252" s="171"/>
      <c r="Y252" s="171">
        <f>IF(W245,W257,IF(Y245,Y257,V252))</f>
        <v>2010</v>
      </c>
      <c r="Z252" s="171"/>
      <c r="AA252" s="171"/>
      <c r="AB252" s="171">
        <f>IF(Z245,Z257,IF(AB245,AB257,Y252))</f>
        <v>2010</v>
      </c>
      <c r="AC252" s="171"/>
      <c r="AD252" s="171"/>
      <c r="AE252" s="171">
        <f>IF(AC245,AC257,IF(AE245,AE257,AB252))</f>
        <v>2010</v>
      </c>
      <c r="AF252" s="3"/>
      <c r="AG252" s="3"/>
      <c r="AJ252" s="3"/>
      <c r="AL252" s="3"/>
      <c r="AM252" s="3"/>
      <c r="AN252" s="3"/>
      <c r="AO252" s="3"/>
      <c r="AT252" s="513" t="str">
        <f>B252</f>
        <v>Team 10</v>
      </c>
      <c r="AU252" s="513">
        <f>AE252</f>
        <v>2010</v>
      </c>
      <c r="AV252" s="513"/>
      <c r="AW252" s="514"/>
      <c r="AX252" s="513"/>
      <c r="AY252" s="513"/>
      <c r="BB252" s="170"/>
    </row>
    <row r="253" spans="1:54" s="117" customFormat="1" hidden="1">
      <c r="A253" s="171">
        <v>5</v>
      </c>
      <c r="B253" s="171">
        <f>E186</f>
        <v>0</v>
      </c>
      <c r="C253" s="171" t="e">
        <f>VLOOKUP(B253,AU$3:BB$33,3,FALSE)</f>
        <v>#N/A</v>
      </c>
      <c r="D253" s="171" t="e">
        <f>IF(B246,B257,IF(D246,D257,C253))</f>
        <v>#N/A</v>
      </c>
      <c r="E253" s="171"/>
      <c r="F253" s="171"/>
      <c r="G253" s="171" t="e">
        <f>IF(E246,E257,IF(G246,G257,D253))</f>
        <v>#N/A</v>
      </c>
      <c r="H253" s="171"/>
      <c r="I253" s="171"/>
      <c r="J253" s="171" t="e">
        <f>IF(H246,H257,IF(J246,J257,G253))</f>
        <v>#N/A</v>
      </c>
      <c r="K253" s="171"/>
      <c r="L253" s="171"/>
      <c r="M253" s="171" t="e">
        <f>IF(K246,K257,IF(M246,M257,J253))</f>
        <v>#N/A</v>
      </c>
      <c r="N253" s="171"/>
      <c r="O253" s="171"/>
      <c r="P253" s="171" t="e">
        <f>IF(N246,N257,IF(P246,P257,M253))</f>
        <v>#N/A</v>
      </c>
      <c r="Q253" s="171"/>
      <c r="R253" s="171"/>
      <c r="S253" s="171" t="e">
        <f>IF(Q246,Q257,IF(S246,S257,P253))</f>
        <v>#N/A</v>
      </c>
      <c r="T253" s="171"/>
      <c r="U253" s="171"/>
      <c r="V253" s="171" t="e">
        <f>IF(T246,T257,IF(V246,V257,S253))</f>
        <v>#N/A</v>
      </c>
      <c r="W253" s="171"/>
      <c r="X253" s="171"/>
      <c r="Y253" s="171" t="e">
        <f>IF(W246,W257,IF(Y246,Y257,V253))</f>
        <v>#N/A</v>
      </c>
      <c r="Z253" s="171"/>
      <c r="AA253" s="171"/>
      <c r="AB253" s="171" t="e">
        <f>IF(Z246,Z257,IF(AB246,AB257,Y253))</f>
        <v>#N/A</v>
      </c>
      <c r="AC253" s="171"/>
      <c r="AD253" s="171"/>
      <c r="AE253" s="171" t="e">
        <f>IF(AC246,AC257,IF(AE246,AE257,AB253))</f>
        <v>#N/A</v>
      </c>
      <c r="AF253" s="3"/>
      <c r="AG253" s="3"/>
      <c r="AJ253" s="3"/>
      <c r="AL253" s="3"/>
      <c r="AM253" s="3"/>
      <c r="AN253" s="3"/>
      <c r="AO253" s="3"/>
      <c r="AT253" s="513">
        <f>B253</f>
        <v>0</v>
      </c>
      <c r="AU253" s="513" t="e">
        <f>AE253</f>
        <v>#N/A</v>
      </c>
      <c r="AV253" s="513"/>
      <c r="AW253" s="514"/>
      <c r="AX253" s="513"/>
      <c r="AY253" s="513"/>
      <c r="BB253" s="170"/>
    </row>
    <row r="254" spans="1:54" s="117" customFormat="1" hidden="1">
      <c r="A254" s="171"/>
      <c r="B254" s="171"/>
      <c r="C254" s="171"/>
      <c r="D254" s="171"/>
      <c r="E254" s="171"/>
      <c r="F254" s="171"/>
      <c r="G254" s="171"/>
      <c r="H254" s="171"/>
      <c r="I254" s="171"/>
      <c r="J254" s="171"/>
      <c r="K254" s="171"/>
      <c r="L254" s="171"/>
      <c r="M254" s="171"/>
      <c r="N254" s="171"/>
      <c r="O254" s="171"/>
      <c r="P254" s="171"/>
      <c r="Q254" s="171"/>
      <c r="R254" s="171"/>
      <c r="S254" s="171"/>
      <c r="T254" s="171"/>
      <c r="U254" s="171"/>
      <c r="V254" s="171"/>
      <c r="W254" s="171"/>
      <c r="X254" s="171"/>
      <c r="Y254" s="171"/>
      <c r="Z254" s="171"/>
      <c r="AA254" s="171"/>
      <c r="AB254" s="171"/>
      <c r="AC254" s="171"/>
      <c r="AD254" s="171"/>
      <c r="AE254" s="171"/>
      <c r="AF254" s="3"/>
      <c r="AG254" s="3"/>
      <c r="AJ254" s="3"/>
      <c r="AL254" s="3"/>
      <c r="AM254" s="3"/>
      <c r="AN254" s="3"/>
      <c r="AO254" s="3"/>
      <c r="AT254" s="513"/>
      <c r="AU254" s="513"/>
      <c r="AV254" s="513"/>
      <c r="AW254" s="514"/>
      <c r="AX254" s="513"/>
      <c r="AY254" s="513"/>
      <c r="BB254" s="170"/>
    </row>
    <row r="255" spans="1:54" s="117" customFormat="1" hidden="1">
      <c r="A255" s="171" t="s">
        <v>225</v>
      </c>
      <c r="B255" s="171">
        <f>VLOOKUP(B194,$A249:$AE253,3,FALSE)</f>
        <v>1429.6517072742154</v>
      </c>
      <c r="C255" s="171">
        <v>1</v>
      </c>
      <c r="D255" s="171">
        <f>VLOOKUP(D194,$A249:$AE253,3,FALSE)</f>
        <v>1367.8516260143563</v>
      </c>
      <c r="E255" s="171">
        <f>VLOOKUP(E194,$A249:$AE253,4,FALSE)</f>
        <v>1372.0761640075598</v>
      </c>
      <c r="F255" s="171">
        <v>2</v>
      </c>
      <c r="G255" s="171">
        <f>VLOOKUP(G194,$A249:$AE253,4,FALSE)</f>
        <v>1361.9324878368475</v>
      </c>
      <c r="H255" s="171">
        <f>VLOOKUP(H194,$A249:$AE253,7,FALSE)</f>
        <v>1425.4271692810119</v>
      </c>
      <c r="I255" s="171">
        <v>3</v>
      </c>
      <c r="J255" s="171">
        <f>VLOOKUP(J194,$A249:$AE253,7,FALSE)</f>
        <v>1362.6329891391413</v>
      </c>
      <c r="K255" s="171" t="e">
        <f>VLOOKUP(K194,$A249:$AE253,10,FALSE)</f>
        <v>#N/A</v>
      </c>
      <c r="L255" s="171">
        <v>4</v>
      </c>
      <c r="M255" s="171" t="e">
        <f>VLOOKUP(M194,$A249:$AE253,10,FALSE)</f>
        <v>#N/A</v>
      </c>
      <c r="N255" s="171" t="e">
        <f>VLOOKUP(N194,$A249:$AE253,13,FALSE)</f>
        <v>#N/A</v>
      </c>
      <c r="O255" s="171">
        <v>5</v>
      </c>
      <c r="P255" s="171" t="e">
        <f>VLOOKUP(P194,$A249:$AE253,13,FALSE)</f>
        <v>#N/A</v>
      </c>
      <c r="Q255" s="171" t="e">
        <f>VLOOKUP(Q194,$A249:$AE253,16,FALSE)</f>
        <v>#N/A</v>
      </c>
      <c r="R255" s="171">
        <v>6</v>
      </c>
      <c r="S255" s="171" t="e">
        <f>VLOOKUP(S194,$A249:$AE253,16,FALSE)</f>
        <v>#N/A</v>
      </c>
      <c r="T255" s="171" t="e">
        <f>VLOOKUP(T194,$A249:$AE253,19,FALSE)</f>
        <v>#N/A</v>
      </c>
      <c r="U255" s="171">
        <v>7</v>
      </c>
      <c r="V255" s="171" t="e">
        <f>VLOOKUP(V194,$A249:$AE253,19,FALSE)</f>
        <v>#N/A</v>
      </c>
      <c r="W255" s="171" t="e">
        <f>VLOOKUP(W194,$A249:$AE253,22,FALSE)</f>
        <v>#N/A</v>
      </c>
      <c r="X255" s="171">
        <v>8</v>
      </c>
      <c r="Y255" s="171" t="e">
        <f>VLOOKUP(Y194,$A249:$AE253,22,FALSE)</f>
        <v>#N/A</v>
      </c>
      <c r="Z255" s="171" t="e">
        <f>VLOOKUP(Z194,$A249:$AE253,25,FALSE)</f>
        <v>#N/A</v>
      </c>
      <c r="AA255" s="171">
        <v>9</v>
      </c>
      <c r="AB255" s="171" t="e">
        <f>VLOOKUP(AB194,$A249:$AE253,25,FALSE)</f>
        <v>#N/A</v>
      </c>
      <c r="AC255" s="171" t="e">
        <f>VLOOKUP(AC194,$A249:$AE253,28,FALSE)</f>
        <v>#N/A</v>
      </c>
      <c r="AD255" s="171">
        <v>10</v>
      </c>
      <c r="AE255" s="171" t="e">
        <f>VLOOKUP(AE194,$A249:$AE253,28,FALSE)</f>
        <v>#N/A</v>
      </c>
      <c r="AF255" s="3"/>
      <c r="AG255" s="118"/>
      <c r="AH255" s="118"/>
      <c r="AI255" s="118"/>
      <c r="AJ255" s="118"/>
      <c r="AK255" s="118"/>
      <c r="AL255" s="118"/>
      <c r="AM255" s="118"/>
      <c r="AN255" s="119"/>
      <c r="AO255" s="119"/>
      <c r="AP255" s="119"/>
      <c r="AQ255" s="119"/>
      <c r="AT255" s="513"/>
      <c r="AU255" s="513"/>
      <c r="AV255" s="513"/>
      <c r="AW255" s="514"/>
      <c r="AX255" s="513"/>
      <c r="AY255" s="513"/>
      <c r="BB255" s="170"/>
    </row>
    <row r="256" spans="1:54" s="176" customFormat="1" hidden="1">
      <c r="A256" s="172" t="s">
        <v>226</v>
      </c>
      <c r="B256" s="172">
        <f>1/(1+(10^-((B255-D255)/400)))*(B206+D206)</f>
        <v>1.1760224163834765</v>
      </c>
      <c r="C256" s="172"/>
      <c r="D256" s="172">
        <f>1/(1+(10^-((D255-B255)/400)))*(B206+D206)</f>
        <v>0.82397758361652362</v>
      </c>
      <c r="E256" s="172">
        <f>1/(1+(10^-((E255-G255)/400)))*(E206+G206)</f>
        <v>1.0291875542622395</v>
      </c>
      <c r="F256" s="172"/>
      <c r="G256" s="172">
        <f>1/(1+(10^-((G255-E255)/400)))*(E206+G206)</f>
        <v>0.97081244573776071</v>
      </c>
      <c r="H256" s="172">
        <f>1/(1+(10^-((H255-J255)/400)))*(H206+J206)</f>
        <v>1.1787936071597134</v>
      </c>
      <c r="I256" s="172"/>
      <c r="J256" s="172">
        <f>1/(1+(10^-((J255-H255)/400)))*(H206+J206)</f>
        <v>0.82120639284028651</v>
      </c>
      <c r="K256" s="172" t="e">
        <f>1/(1+(10^-((K255-M255)/400)))*(K206+M206)</f>
        <v>#N/A</v>
      </c>
      <c r="L256" s="172"/>
      <c r="M256" s="172" t="e">
        <f>1/(1+(10^-((M255-K255)/400)))*(K206+M206)</f>
        <v>#N/A</v>
      </c>
      <c r="N256" s="172" t="e">
        <f>1/(1+(10^-((N255-P255)/400)))*(N206+P206)</f>
        <v>#N/A</v>
      </c>
      <c r="O256" s="172"/>
      <c r="P256" s="172" t="e">
        <f>1/(1+(10^-((P255-N255)/400)))*(N206+P206)</f>
        <v>#N/A</v>
      </c>
      <c r="Q256" s="172" t="e">
        <f>1/(1+(10^-((Q255-S255)/400)))*(Q206+S206)</f>
        <v>#N/A</v>
      </c>
      <c r="R256" s="172"/>
      <c r="S256" s="172" t="e">
        <f>1/(1+(10^-((S255-Q255)/400)))*(Q206+S206)</f>
        <v>#N/A</v>
      </c>
      <c r="T256" s="172" t="e">
        <f>1/(1+(10^-((T255-V255)/400)))*(T206+V206)</f>
        <v>#N/A</v>
      </c>
      <c r="U256" s="172"/>
      <c r="V256" s="172" t="e">
        <f>1/(1+(10^-((V255-T255)/400)))*(T206+V206)</f>
        <v>#N/A</v>
      </c>
      <c r="W256" s="172" t="e">
        <f>1/(1+(10^-((W255-Y255)/400)))*(W206+Y206)</f>
        <v>#N/A</v>
      </c>
      <c r="X256" s="172"/>
      <c r="Y256" s="172" t="e">
        <f>1/(1+(10^-((Y255-W255)/400)))*(W206+Y206)</f>
        <v>#N/A</v>
      </c>
      <c r="Z256" s="172" t="e">
        <f>1/(1+(10^-((Z255-AB255)/400)))*(Z206+AB206)</f>
        <v>#N/A</v>
      </c>
      <c r="AA256" s="172"/>
      <c r="AB256" s="172" t="e">
        <f>1/(1+(10^-((AB255-Z255)/400)))*(Z206+AB206)</f>
        <v>#N/A</v>
      </c>
      <c r="AC256" s="172" t="e">
        <f>1/(1+(10^-((AC255-AE255)/400)))*(AC206+AE206)</f>
        <v>#N/A</v>
      </c>
      <c r="AD256" s="172"/>
      <c r="AE256" s="172" t="e">
        <f>1/(1+(10^-((AE255-AC255)/400)))*(AC206+AE206)</f>
        <v>#N/A</v>
      </c>
      <c r="AF256" s="173"/>
      <c r="AG256" s="174"/>
      <c r="AH256" s="174"/>
      <c r="AI256" s="174"/>
      <c r="AJ256" s="174"/>
      <c r="AK256" s="174"/>
      <c r="AL256" s="174"/>
      <c r="AM256" s="174"/>
      <c r="AN256" s="175"/>
      <c r="AO256" s="175"/>
      <c r="AP256" s="175"/>
      <c r="AQ256" s="175"/>
      <c r="AT256" s="516"/>
      <c r="AU256" s="516"/>
      <c r="AV256" s="516"/>
      <c r="AW256" s="517"/>
      <c r="AX256" s="516"/>
      <c r="AY256" s="516"/>
      <c r="BB256" s="177"/>
    </row>
    <row r="257" spans="1:54" s="182" customFormat="1" hidden="1">
      <c r="A257" s="178" t="s">
        <v>227</v>
      </c>
      <c r="B257" s="178">
        <f>B255+(B206-B256)*$BA$1</f>
        <v>1425.4271692810119</v>
      </c>
      <c r="C257" s="178"/>
      <c r="D257" s="178">
        <f>D255+(D206-D256)*$BA$1</f>
        <v>1372.0761640075598</v>
      </c>
      <c r="E257" s="178">
        <f>E255+(E206-E256)*$BA$1</f>
        <v>1371.375662705266</v>
      </c>
      <c r="F257" s="178"/>
      <c r="G257" s="178">
        <f>G255+(G206-G256)*$BA$1</f>
        <v>1362.6329891391413</v>
      </c>
      <c r="H257" s="178">
        <f>H255+(H206-H256)*$BA$1</f>
        <v>1445.1361227091788</v>
      </c>
      <c r="I257" s="178"/>
      <c r="J257" s="178">
        <f>J255+(J206-J256)*$BA$1</f>
        <v>1342.9240357109743</v>
      </c>
      <c r="K257" s="178" t="e">
        <f>K255+(K206-K256)*$BA$1</f>
        <v>#N/A</v>
      </c>
      <c r="L257" s="178"/>
      <c r="M257" s="178" t="e">
        <f>M255+(M206-M256)*$BA$1</f>
        <v>#N/A</v>
      </c>
      <c r="N257" s="178" t="e">
        <f>N255+(N206-N256)*$BA$1</f>
        <v>#N/A</v>
      </c>
      <c r="O257" s="178"/>
      <c r="P257" s="178" t="e">
        <f>P255+(P206-P256)*$BA$1</f>
        <v>#N/A</v>
      </c>
      <c r="Q257" s="178" t="e">
        <f>Q255+(Q206-Q256)*$BA$1</f>
        <v>#N/A</v>
      </c>
      <c r="R257" s="178"/>
      <c r="S257" s="178" t="e">
        <f>S255+(S206-S256)*$BA$1</f>
        <v>#N/A</v>
      </c>
      <c r="T257" s="178" t="e">
        <f>T255+(T206-T256)*$BA$1</f>
        <v>#N/A</v>
      </c>
      <c r="U257" s="178"/>
      <c r="V257" s="178" t="e">
        <f>V255+(V206-V256)*$BA$1</f>
        <v>#N/A</v>
      </c>
      <c r="W257" s="178" t="e">
        <f>W255+(W206-W256)*$BA$1</f>
        <v>#N/A</v>
      </c>
      <c r="X257" s="178"/>
      <c r="Y257" s="178" t="e">
        <f>Y255+(Y206-Y256)*$BA$1</f>
        <v>#N/A</v>
      </c>
      <c r="Z257" s="178" t="e">
        <f>Z255+(Z206-Z256)*$BA$1</f>
        <v>#N/A</v>
      </c>
      <c r="AA257" s="178"/>
      <c r="AB257" s="178" t="e">
        <f>AB255+(AB206-AB256)*$BA$1</f>
        <v>#N/A</v>
      </c>
      <c r="AC257" s="178" t="e">
        <f>AC255+(AC206-AC256)*$BA$1</f>
        <v>#N/A</v>
      </c>
      <c r="AD257" s="178"/>
      <c r="AE257" s="178" t="e">
        <f>AE255+(AE206-AE256)*$BA$1</f>
        <v>#N/A</v>
      </c>
      <c r="AF257" s="179"/>
      <c r="AG257" s="180"/>
      <c r="AH257" s="180"/>
      <c r="AI257" s="180"/>
      <c r="AJ257" s="180"/>
      <c r="AK257" s="180"/>
      <c r="AL257" s="180"/>
      <c r="AM257" s="180"/>
      <c r="AN257" s="181"/>
      <c r="AO257" s="181"/>
      <c r="AP257" s="181"/>
      <c r="AQ257" s="181"/>
      <c r="AT257" s="518"/>
      <c r="AU257" s="518"/>
      <c r="AV257" s="518"/>
      <c r="AW257" s="519"/>
      <c r="AX257" s="518"/>
      <c r="AY257" s="518"/>
      <c r="BB257" s="183"/>
    </row>
    <row r="258" spans="1:54" s="182" customFormat="1" hidden="1">
      <c r="A258" s="178"/>
      <c r="B258" s="178"/>
      <c r="C258" s="178"/>
      <c r="D258" s="178"/>
      <c r="E258" s="178"/>
      <c r="F258" s="178"/>
      <c r="G258" s="178"/>
      <c r="H258" s="178"/>
      <c r="I258" s="178"/>
      <c r="J258" s="178"/>
      <c r="K258" s="178"/>
      <c r="L258" s="178"/>
      <c r="M258" s="178"/>
      <c r="N258" s="178"/>
      <c r="O258" s="178"/>
      <c r="P258" s="178"/>
      <c r="Q258" s="178"/>
      <c r="R258" s="178"/>
      <c r="S258" s="178"/>
      <c r="T258" s="178"/>
      <c r="U258" s="178"/>
      <c r="V258" s="178"/>
      <c r="W258" s="178"/>
      <c r="X258" s="178"/>
      <c r="Y258" s="178"/>
      <c r="Z258" s="178"/>
      <c r="AA258" s="178"/>
      <c r="AB258" s="178"/>
      <c r="AC258" s="178"/>
      <c r="AD258" s="178"/>
      <c r="AE258" s="178"/>
      <c r="AF258" s="179"/>
      <c r="AG258" s="180"/>
      <c r="AH258" s="180"/>
      <c r="AI258" s="180"/>
      <c r="AJ258" s="180"/>
      <c r="AK258" s="180"/>
      <c r="AL258" s="180"/>
      <c r="AM258" s="180"/>
      <c r="AN258" s="181"/>
      <c r="AO258" s="181"/>
      <c r="AP258" s="181"/>
      <c r="AQ258" s="181"/>
      <c r="AT258" s="518"/>
      <c r="AU258" s="518"/>
      <c r="AV258" s="518"/>
      <c r="AW258" s="519"/>
      <c r="AX258" s="518"/>
      <c r="AY258" s="518"/>
      <c r="BB258" s="183"/>
    </row>
    <row r="259" spans="1:54" s="117" customFormat="1">
      <c r="A259" s="393" t="str">
        <f>IF($AK180=1,"Pool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Tiebreaker : 1) Games Won vs Lost (if 3 way tie then #5)  2) Head to Head  3) Head to Head Net Points  4) Game Win %  5) Total Pool Net Points  6) Flip a Coin</v>
      </c>
      <c r="B259" s="393"/>
      <c r="C259" s="393"/>
      <c r="D259" s="393"/>
      <c r="E259" s="393"/>
      <c r="F259" s="393"/>
      <c r="G259" s="393"/>
      <c r="H259" s="393"/>
      <c r="I259" s="393"/>
      <c r="J259" s="393"/>
      <c r="K259" s="393"/>
      <c r="L259" s="393"/>
      <c r="M259" s="393"/>
      <c r="N259" s="393"/>
      <c r="O259" s="393"/>
      <c r="P259" s="393"/>
      <c r="Q259" s="393"/>
      <c r="R259" s="393"/>
      <c r="S259" s="393"/>
      <c r="T259" s="393"/>
      <c r="U259" s="393"/>
      <c r="V259" s="393"/>
      <c r="W259" s="393"/>
      <c r="X259" s="393"/>
      <c r="Y259" s="393"/>
      <c r="Z259" s="393"/>
      <c r="AA259" s="393"/>
      <c r="AB259" s="393"/>
      <c r="AC259" s="393"/>
      <c r="AD259" s="393"/>
      <c r="AE259" s="393"/>
      <c r="AF259" s="393"/>
      <c r="AG259" s="393"/>
      <c r="AH259" s="393"/>
      <c r="AI259" s="393"/>
      <c r="AJ259" s="393"/>
      <c r="AK259" s="393"/>
      <c r="AL259" s="393"/>
      <c r="AM259" s="394"/>
      <c r="AN259" s="394"/>
      <c r="AO259" s="394"/>
      <c r="AP259" s="394"/>
      <c r="AT259" s="513"/>
      <c r="AU259" s="513"/>
      <c r="AV259" s="513"/>
      <c r="AW259" s="514"/>
      <c r="AX259" s="513"/>
      <c r="AY259" s="513"/>
    </row>
    <row r="260" spans="1:54" s="117" customFormat="1">
      <c r="A260" s="395"/>
      <c r="B260" s="395"/>
      <c r="C260" s="395"/>
      <c r="D260" s="395"/>
      <c r="E260" s="395"/>
      <c r="F260" s="395"/>
      <c r="G260" s="395"/>
      <c r="H260" s="395"/>
      <c r="I260" s="395"/>
      <c r="J260" s="395"/>
      <c r="K260" s="395"/>
      <c r="L260" s="395"/>
      <c r="M260" s="395"/>
      <c r="N260" s="395"/>
      <c r="O260" s="395"/>
      <c r="P260" s="395"/>
      <c r="Q260" s="395"/>
      <c r="R260" s="395"/>
      <c r="S260" s="395"/>
      <c r="T260" s="395"/>
      <c r="U260" s="395"/>
      <c r="V260" s="395"/>
      <c r="W260" s="395"/>
      <c r="X260" s="395"/>
      <c r="Y260" s="395"/>
      <c r="Z260" s="395"/>
      <c r="AA260" s="395"/>
      <c r="AB260" s="395"/>
      <c r="AC260" s="395"/>
      <c r="AD260" s="395"/>
      <c r="AE260" s="395"/>
      <c r="AF260" s="395"/>
      <c r="AG260" s="395"/>
      <c r="AH260" s="395"/>
      <c r="AI260" s="395"/>
      <c r="AJ260" s="395"/>
      <c r="AK260" s="395"/>
      <c r="AL260" s="395"/>
      <c r="AM260" s="395"/>
      <c r="AN260" s="395"/>
      <c r="AO260" s="395"/>
      <c r="AP260" s="395"/>
      <c r="AQ260" s="395"/>
      <c r="AT260" s="513"/>
      <c r="AU260" s="513"/>
      <c r="AV260" s="513"/>
      <c r="AW260" s="514"/>
      <c r="AX260" s="513"/>
      <c r="AY260" s="513"/>
    </row>
    <row r="261" spans="1:54" ht="21" thickBot="1">
      <c r="A261" s="396" t="s">
        <v>230</v>
      </c>
      <c r="B261" s="396"/>
      <c r="C261" s="396"/>
      <c r="D261" s="396"/>
      <c r="E261" s="396"/>
      <c r="F261" s="396"/>
      <c r="G261" s="396"/>
      <c r="H261" s="396"/>
      <c r="I261" s="396"/>
      <c r="J261" s="396"/>
      <c r="K261" s="396"/>
      <c r="L261" s="396"/>
      <c r="M261" s="396"/>
      <c r="N261" s="396"/>
      <c r="O261" s="396"/>
      <c r="P261" s="396"/>
      <c r="Q261" s="396"/>
      <c r="R261" s="396"/>
      <c r="S261" s="396"/>
      <c r="T261" s="396"/>
      <c r="U261" s="396"/>
      <c r="V261" s="396"/>
      <c r="W261" s="396"/>
      <c r="X261" s="396"/>
      <c r="Y261" s="396"/>
      <c r="Z261" s="396"/>
      <c r="AA261" s="396"/>
      <c r="AB261" s="396"/>
      <c r="AC261" s="396"/>
      <c r="AD261" s="396"/>
      <c r="AE261" s="396"/>
      <c r="AF261" s="396"/>
      <c r="AG261" s="396"/>
      <c r="AH261" s="396"/>
      <c r="AI261" s="396"/>
      <c r="AJ261" s="396"/>
      <c r="AK261" s="396"/>
      <c r="AL261" s="396"/>
      <c r="AM261" s="396"/>
      <c r="AN261" s="396"/>
      <c r="AO261" s="396"/>
      <c r="AP261" s="396"/>
      <c r="AQ261" s="396"/>
    </row>
    <row r="262" spans="1:54" ht="13.5" thickBot="1">
      <c r="A262" s="397" t="s">
        <v>231</v>
      </c>
      <c r="B262" s="399" t="s">
        <v>232</v>
      </c>
      <c r="C262" s="400"/>
      <c r="D262" s="400"/>
      <c r="E262" s="400"/>
      <c r="F262" s="400"/>
      <c r="G262" s="400"/>
      <c r="H262" s="400"/>
      <c r="I262" s="400"/>
      <c r="J262" s="400"/>
      <c r="K262" s="400"/>
      <c r="L262" s="401"/>
      <c r="M262" s="399" t="s">
        <v>233</v>
      </c>
      <c r="N262" s="400"/>
      <c r="O262" s="400"/>
      <c r="P262" s="400"/>
      <c r="Q262" s="400"/>
      <c r="R262" s="400"/>
      <c r="S262" s="400"/>
      <c r="T262" s="400"/>
      <c r="U262" s="400"/>
      <c r="V262" s="400"/>
      <c r="W262" s="401"/>
      <c r="X262" s="402" t="s">
        <v>234</v>
      </c>
      <c r="Y262" s="403"/>
      <c r="Z262" s="403"/>
      <c r="AA262" s="403"/>
      <c r="AB262" s="403"/>
      <c r="AC262" s="403"/>
      <c r="AD262" s="403"/>
      <c r="AE262" s="403"/>
      <c r="AF262" s="403"/>
      <c r="AG262" s="404"/>
      <c r="AH262" s="405" t="s">
        <v>235</v>
      </c>
      <c r="AI262" s="406"/>
      <c r="AJ262" s="406"/>
      <c r="AK262" s="406"/>
      <c r="AL262" s="406"/>
      <c r="AM262" s="406"/>
      <c r="AN262" s="406"/>
      <c r="AO262" s="406"/>
      <c r="AP262" s="407"/>
    </row>
    <row r="263" spans="1:54" ht="13.5" thickBot="1">
      <c r="A263" s="398"/>
      <c r="B263" s="408" t="s">
        <v>5</v>
      </c>
      <c r="C263" s="409"/>
      <c r="D263" s="409"/>
      <c r="E263" s="409"/>
      <c r="F263" s="409" t="s">
        <v>236</v>
      </c>
      <c r="G263" s="409"/>
      <c r="H263" s="409"/>
      <c r="I263" s="409"/>
      <c r="J263" s="409" t="s">
        <v>237</v>
      </c>
      <c r="K263" s="409"/>
      <c r="L263" s="185" t="s">
        <v>4</v>
      </c>
      <c r="M263" s="408" t="s">
        <v>5</v>
      </c>
      <c r="N263" s="409"/>
      <c r="O263" s="409"/>
      <c r="P263" s="409"/>
      <c r="Q263" s="409"/>
      <c r="R263" s="409" t="s">
        <v>236</v>
      </c>
      <c r="S263" s="409"/>
      <c r="T263" s="409"/>
      <c r="U263" s="409" t="s">
        <v>237</v>
      </c>
      <c r="V263" s="409"/>
      <c r="W263" s="186" t="s">
        <v>4</v>
      </c>
      <c r="X263" s="408" t="s">
        <v>5</v>
      </c>
      <c r="Y263" s="409"/>
      <c r="Z263" s="409"/>
      <c r="AA263" s="409"/>
      <c r="AB263" s="409"/>
      <c r="AC263" s="409" t="s">
        <v>236</v>
      </c>
      <c r="AD263" s="409"/>
      <c r="AE263" s="409"/>
      <c r="AF263" s="184" t="s">
        <v>237</v>
      </c>
      <c r="AG263" s="186" t="s">
        <v>4</v>
      </c>
      <c r="AH263" s="410" t="s">
        <v>5</v>
      </c>
      <c r="AI263" s="411"/>
      <c r="AJ263" s="411"/>
      <c r="AK263" s="411" t="s">
        <v>236</v>
      </c>
      <c r="AL263" s="411"/>
      <c r="AM263" s="411"/>
      <c r="AN263" s="411" t="s">
        <v>237</v>
      </c>
      <c r="AO263" s="411"/>
      <c r="AP263" s="187" t="s">
        <v>4</v>
      </c>
    </row>
    <row r="264" spans="1:54">
      <c r="A264" s="188" t="s">
        <v>244</v>
      </c>
      <c r="B264" s="412" t="str">
        <f>IF($AF$8=1,$E$8,IF($AF$10=1,$E$10,IF($AF$12=1,$E$12,IF($AF$14=1,$E$14,IF($AF$16=1,$E$16,"1st Place "&amp;$A264)))))</f>
        <v>Intense Kids power Gvl</v>
      </c>
      <c r="C264" s="413"/>
      <c r="D264" s="413"/>
      <c r="E264" s="413"/>
      <c r="F264" s="414" t="str">
        <f>IF($AF$8=1,$E$9,IF($AF$10=1,$E$11,IF($AF$12=1,$E$13,IF($AF$14=1,$E$15,IF($AF$16=1,$E$17,"1st Place "&amp;$A264)))))</f>
        <v>fj2inten2pm</v>
      </c>
      <c r="G264" s="414"/>
      <c r="H264" s="414"/>
      <c r="I264" s="414"/>
      <c r="J264" s="415">
        <f>IF($AF$8=1,$Z$8,IF($AF$10=1,$Z$10,IF($AF$12=1,$Z$12,IF($AF$14=1,$Z$14,IF($AF$16=1,$Z$16,0)))))</f>
        <v>0.29032258064516131</v>
      </c>
      <c r="K264" s="415"/>
      <c r="L264" s="189">
        <f>IF(AND(J264=0,J265=0,J266=0),0,IF(OR(AND(J264&gt;J265,J264&gt;J266),AND(J264=J265,J264=J266),AND(J264=J265,J264&gt;J266),AND(J264=J266,J264&gt;J265)),1,IF(OR(J264&gt;J265,J264&gt;J266,J264=J265,J264=J266),2,3)))</f>
        <v>2</v>
      </c>
      <c r="M264" s="463" t="str">
        <f>IF($AF$8=2,$E$8,IF($AF$10=2,$E$10,IF($AF$12=2,$E$12,IF($AF$14=2,$E$14,IF($AF$16=2,$E$16,"2nd Place "&amp;$A264)))))</f>
        <v>SC Midlands KP Boys</v>
      </c>
      <c r="N264" s="464"/>
      <c r="O264" s="464"/>
      <c r="P264" s="464"/>
      <c r="Q264" s="464"/>
      <c r="R264" s="465" t="str">
        <f>IF($AF$8=2,$E$9,IF($AF$10=2,$E$11,IF($AF$12=2,$E$13,IF($AF$14=2,$E$15,IF($AF$16=2,$E$17,"2nd Place "&amp;$A264)))))</f>
        <v>fj2scmid3pm</v>
      </c>
      <c r="S264" s="465"/>
      <c r="T264" s="465"/>
      <c r="U264" s="466">
        <f>IF($AF$8=2,$Z$8,IF($AF$10=2,$Z$10,IF($AF$12=2,$Z$12,IF($AF$14=2,$Z$14,IF($AF$16=2,$Z$16,0)))))</f>
        <v>0.21428571428571427</v>
      </c>
      <c r="V264" s="466"/>
      <c r="W264" s="192">
        <f>IF(AND(J264=0,J265=0,J266=0),0,IF(OR(AND(U264&gt;U265,U264&gt;U266),AND(U264=U265,U264=U266),AND(U264=U265,U264&gt;U266),AND(U264=U266,U264&gt;U265)),1,IF(OR(U264&gt;U265,U264&gt;U266,U264=U265,U264=U266),2,3)))</f>
        <v>1</v>
      </c>
      <c r="X264" s="467" t="str">
        <f>IF($AF$8=3,$E$8,IF($AF$10=3,$E$10,IF($AF$12=3,$E$12,IF($AF$14=3,$E$14,IF($AF$16=3,$E$16,"3rd Place "&amp;$A264)))))</f>
        <v>SC Midlands KP White</v>
      </c>
      <c r="Y264" s="468"/>
      <c r="Z264" s="468"/>
      <c r="AA264" s="468"/>
      <c r="AB264" s="468"/>
      <c r="AC264" s="469" t="str">
        <f>IF($AF$8=3,$E$9,IF($AF$10=3,$E$11,IF($AF$12=3,$E$13,IF($AF$14=3,$E$15,IF($AF$16=3,$E$17,"3rd Place "&amp;$A264)))))</f>
        <v>fj2scmid2pm</v>
      </c>
      <c r="AD264" s="469"/>
      <c r="AE264" s="469"/>
      <c r="AF264" s="207">
        <f>IF($AF$8=3,$Z$8,IF($AF$10=3,$Z$10,IF($AF$12=3,$Z$12,IF($AF$14=3,$Z$14,IF($AF$16=3,$Z$16,0)))))</f>
        <v>-0.45454545454545453</v>
      </c>
      <c r="AG264" s="190">
        <f>IF(AND(J264=0,J265=0,J266=0),0,IF(OR(AND(AF264&gt;AF265,AF264&gt;AF266),AND(AF264=AF265,AF264=AF266),AND(AF264=AF265,AF264&gt;AF266),AND(AF264=AF266,AF264&gt;AF265)),1,IF(OR(AF264&gt;AF265,AF264&gt;AF266,AF264=AF265,AF264=AF266),2,3)))</f>
        <v>3</v>
      </c>
      <c r="AH264" s="423" t="str">
        <f>IF($AF$8=4,$E$8,IF($AF$10=4,$E$10,IF($AF$12=4,$E$12,IF($AF$14=4,$E$14,IF($AF$16=4,$E$16,"4th Place "&amp;$A264)))))</f>
        <v>4th Place Pool A2</v>
      </c>
      <c r="AI264" s="424"/>
      <c r="AJ264" s="424"/>
      <c r="AK264" s="427" t="str">
        <f>IF($AF$8=4,$E$9,IF($AF$10=4,$E$11,IF($AF$12=4,$E$13,IF($AF$14=4,$E$15,IF($AF$16=4,$E$17,"4th Place "&amp;$A264)))))</f>
        <v>4th Place Pool A2</v>
      </c>
      <c r="AL264" s="427"/>
      <c r="AM264" s="427"/>
      <c r="AN264" s="428">
        <f>IF($AF$8=4,$Z$8,IF($AF$10=4,$Z$10,IF($AF$12=4,$Z$12,IF($AF$14=4,$Z$14,IF($AF$16=4,$Z$16,0)))))</f>
        <v>0</v>
      </c>
      <c r="AO264" s="428"/>
      <c r="AP264" s="193">
        <f>IF(AND(J264=0,J265=0,J266=0),0,IF(OR(AND(AN264&gt;AN265,AN264&gt;AN266),AND(AN264=AN265,AN264=AN266),AND(AN264=AN265,AN264&gt;AN266),AND(AN264=AN266,AN264&gt;AN265)),1,IF(OR(AN264&gt;AN265,AN264&gt;AN266,AN264=AN265,AN264=AN266),2,3)))</f>
        <v>1</v>
      </c>
    </row>
    <row r="265" spans="1:54">
      <c r="A265" s="188" t="s">
        <v>245</v>
      </c>
      <c r="B265" s="433" t="str">
        <f>IF($AF$93=1,$E$93,IF($AF$95=1,$E$95,IF($AF$97=1,$E$97,IF($AF$99=1,$E$99,IF($AF$101=1,$E$101,"1st Place "&amp;$A265)))))</f>
        <v>Magnum 12 Black</v>
      </c>
      <c r="C265" s="434"/>
      <c r="D265" s="434"/>
      <c r="E265" s="434"/>
      <c r="F265" s="435" t="str">
        <f>IF($AF$93=1,$E$94,IF($AF$95=1,$E$96,IF($AF$97=1,$E$98,IF($AF$99=1,$E$100,IF($AF$101=1,$E$102,"1st Place "&amp;$A265)))))</f>
        <v>fj2magnm1pm</v>
      </c>
      <c r="G265" s="435"/>
      <c r="H265" s="435"/>
      <c r="I265" s="435"/>
      <c r="J265" s="436">
        <f>IF($AF$93=1,$Z$93,IF($AF$95=1,$Z$95,IF($AF$97=1,$Z$97,IF($AF$99=1,$Z$99,IF($AF$101=1,$Z$101,0)))))</f>
        <v>0.46913580246913578</v>
      </c>
      <c r="K265" s="436"/>
      <c r="L265" s="208">
        <f>IF(AND(J264=0,J265=0,J266=0),0,IF(OR(AND(J265&gt;J264,J265&gt;J266),AND(J265=J266,J265&gt;J264)),1,IF(OR(J265&gt;J264,J265&gt;J266,AND(J265=J264,J265=J266),J265=J266),2,3)))</f>
        <v>1</v>
      </c>
      <c r="M265" s="429" t="str">
        <f>IF($AF$93=2,$E$93,IF($AF$95=2,$E$95,IF($AF$97=2,$E$97,IF($AF$99=2,$E$99,IF($AF$101=2,$E$101,"2nd Place "&amp;$A265)))))</f>
        <v>Excell U12 Devel</v>
      </c>
      <c r="N265" s="430"/>
      <c r="O265" s="430"/>
      <c r="P265" s="430"/>
      <c r="Q265" s="430"/>
      <c r="R265" s="431" t="str">
        <f>IF($AF$93=2,$E$94,IF($AF$95=2,$E$96,IF($AF$97=2,$E$98,IF($AF$99=2,$E$100,IF($AF$101=2,$E$102,"2nd Place "&amp;$A265)))))</f>
        <v>fj2191642pm</v>
      </c>
      <c r="S265" s="431"/>
      <c r="T265" s="431"/>
      <c r="U265" s="432">
        <f>IF($AF$93=2,$Z$93,IF($AF$95=2,$Z$95,IF($AF$97=2,$Z$97,IF($AF$99=2,$Z$99,IF($AF$101=2,$Z$101,0)))))</f>
        <v>-0.2</v>
      </c>
      <c r="V265" s="432"/>
      <c r="W265" s="209">
        <f>IF(AND(J264=0,J265=0,J266=0),0,IF(OR(AND(U265&gt;U264,U265&gt;U266),AND(U265=U266,U265&gt;U264)),1,IF(OR(U265&gt;U264,U265&gt;U266,AND(U265=U264,U265=U266),U265=U266),2,3)))</f>
        <v>3</v>
      </c>
      <c r="X265" s="437" t="str">
        <f>IF($AF$93=3,$E$93,IF($AF$95=3,$E$95,IF($AF$97=3,$E$97,IF($AF$99=3,$E$99,IF($AF$101=3,$E$101,"3rd Place "&amp;$A265)))))</f>
        <v>Columbia SC Starlings 12</v>
      </c>
      <c r="Y265" s="438"/>
      <c r="Z265" s="438"/>
      <c r="AA265" s="438"/>
      <c r="AB265" s="438"/>
      <c r="AC265" s="456" t="str">
        <f>IF($AF$93=3,$E$94,IF($AF$95=3,$E$96,IF($AF$97=3,$E$98,IF($AF$99=3,$E$100,IF($AF$101=3,$E$102,"3rd Place "&amp;$A265)))))</f>
        <v>fj2starl1pm</v>
      </c>
      <c r="AD265" s="456"/>
      <c r="AE265" s="456"/>
      <c r="AF265" s="196">
        <f>IF($AF$93=3,$Z$93,IF($AF$95=3,$Z$95,IF($AF$97=3,$Z$97,IF($AF$99=3,$Z$99,IF($AF$101=3,$Z$101,0)))))</f>
        <v>-0.27160493827160492</v>
      </c>
      <c r="AG265" s="197">
        <f>IF(AND(J264=0,J265=0,J266=0),0,IF(OR(AND(AF265&gt;AF264,AF265&gt;AF266),AND(AF265=AF266,AF265&gt;AF264)),1,IF(OR(AF265&gt;AF264,AF265&gt;AF266,AND(AF265=AF264,AF265=AF266),AF265=AF266),2,3)))</f>
        <v>2</v>
      </c>
      <c r="AH265" s="452" t="str">
        <f>IF($AF$93=4,$E$93,IF($AF$95=4,$E$95,IF($AF$97=4,$E$97,IF($AF$99=4,$E$99,IF($AF$101=4,$E$101,"4th Place "&amp;$A265)))))</f>
        <v>4th Place Pool B2</v>
      </c>
      <c r="AI265" s="453"/>
      <c r="AJ265" s="453"/>
      <c r="AK265" s="454" t="str">
        <f>IF($AF$93=4,$E$94,IF($AF$95=4,$E$96,IF($AF$97=4,$E$98,IF($AF$99=4,$E$100,IF($AF$101=4,$E$102,"4th Place "&amp;$A265)))))</f>
        <v>4th Place Pool B2</v>
      </c>
      <c r="AL265" s="454"/>
      <c r="AM265" s="454"/>
      <c r="AN265" s="455">
        <f>IF($AF$93=4,$Z$93,IF($AF$95=4,$Z$95,IF($AF$97=4,$Z$97,IF($AF$99=4,$Z$99,IF($AF$101=4,$Z$101,0)))))</f>
        <v>0</v>
      </c>
      <c r="AO265" s="455"/>
      <c r="AP265" s="198">
        <f>IF(AND(J264=0,J265=0,J266=0),0,IF(OR(AND(AN265&gt;AN264,AN265&gt;AN266),AND(AN265=AN266,AN265&gt;AN264)),1,IF(OR(AN265&gt;AN264,AN265&gt;AN266,AND(AN265=AN264,AN265=AN266),AN265=AN266),2,3)))</f>
        <v>2</v>
      </c>
    </row>
    <row r="266" spans="1:54" ht="13.5" thickBot="1">
      <c r="A266" s="199" t="s">
        <v>246</v>
      </c>
      <c r="B266" s="425" t="str">
        <f>IF($AF$178=1,$E$178,IF($AF$180=1,$E$180,IF($AF$182=1,$E$182,IF($AF$184=1,$E$184,IF($AF$186=1,$E$186,"1st Place "&amp;$A266)))))</f>
        <v>Magnum Aiken 12 Green</v>
      </c>
      <c r="C266" s="426"/>
      <c r="D266" s="426"/>
      <c r="E266" s="426"/>
      <c r="F266" s="447" t="str">
        <f>IF($AF$178=1,$E$179,IF($AF$180=1,$E$181,IF($AF$182=1,$E$183,IF($AF$184=1,$E$185,IF($AF$186=1,$E$187,"1st Place "&amp;$A266)))))</f>
        <v>fj2magnm2pm</v>
      </c>
      <c r="G266" s="447"/>
      <c r="H266" s="447"/>
      <c r="I266" s="447"/>
      <c r="J266" s="470">
        <f>IF($AF$178=1,$Z$178,IF($AF$180=1,$Z$180,IF($AF$182=1,$Z$182,IF($AF$184=1,$Z$184,IF($AF$186=1,$Z$186,0)))))</f>
        <v>0.21794871794871795</v>
      </c>
      <c r="K266" s="470"/>
      <c r="L266" s="210">
        <f>IF(AND(J264=0,J265=0,J266=0),0,IF(AND(J266&gt;J264,J266&gt;J265),1,IF(OR(J266&gt;J264,J266&gt;J265),2,3)))</f>
        <v>3</v>
      </c>
      <c r="M266" s="443" t="str">
        <f>IF($AF$178=2,$E$178,IF($AF$180=2,$E$180,IF($AF$182=2,$E$182,IF($AF$184=2,$E$184,IF($AF$186=2,$E$186,"2nd Place "&amp;$A266)))))</f>
        <v>USA 12 Blue</v>
      </c>
      <c r="N266" s="444"/>
      <c r="O266" s="444"/>
      <c r="P266" s="444"/>
      <c r="Q266" s="444"/>
      <c r="R266" s="445" t="str">
        <f>IF($AF$178=2,$E$179,IF($AF$180=2,$E$181,IF($AF$182=2,$E$183,IF($AF$184=2,$E$185,IF($AF$186=2,$E$187,"2nd Place "&amp;$A266)))))</f>
        <v>fj2unsel1cr</v>
      </c>
      <c r="S266" s="445"/>
      <c r="T266" s="445"/>
      <c r="U266" s="446">
        <f>IF($AF$178=2,$Z$178,IF($AF$180=2,$Z$180,IF($AF$182=2,$Z$182,IF($AF$184=2,$Z$184,IF($AF$186=2,$Z$186,0)))))</f>
        <v>0</v>
      </c>
      <c r="V266" s="446"/>
      <c r="W266" s="201">
        <f>IF(AND(J264=0,J265=0,J266=0),0,IF(AND(U266&gt;U264,U266&gt;U265),1,IF(OR(U266&gt;U264,U266&gt;U265),2,3)))</f>
        <v>2</v>
      </c>
      <c r="X266" s="439" t="str">
        <f>IF($AF$178=3,$E$178,IF($AF$180=3,$E$180,IF($AF$182=3,$E$182,IF($AF$184=3,$E$184,IF($AF$186=3,$E$186,"3rd Place "&amp;$A266)))))</f>
        <v>Magnum 12 Red</v>
      </c>
      <c r="Y266" s="440"/>
      <c r="Z266" s="440"/>
      <c r="AA266" s="440"/>
      <c r="AB266" s="440"/>
      <c r="AC266" s="441" t="str">
        <f>IF($AF$178=3,$E$179,IF($AF$180=3,$E$181,IF($AF$182=3,$E$183,IF($AF$184=3,$E$185,IF($AF$186=3,$E$187,"3rd Place "&amp;$A266)))))</f>
        <v>fj2magnm3pm</v>
      </c>
      <c r="AD266" s="441"/>
      <c r="AE266" s="441"/>
      <c r="AF266" s="211">
        <f>IF($AF$178=3,$Z$178,IF($AF$180=3,$Z$180,IF($AF$182=3,$Z$182,IF($AF$184=3,$Z$184,IF($AF$186=3,$Z$186,0)))))</f>
        <v>-0.21249999999999999</v>
      </c>
      <c r="AG266" s="212">
        <f>IF(AND(J264=0,J265=0,J266=0),0,IF(AND(AF266&gt;AF264,AF266&gt;AF265),1,IF(OR(AF266&gt;AF264,AF266&gt;AF265),2,3)))</f>
        <v>1</v>
      </c>
      <c r="AH266" s="448" t="str">
        <f>IF($AF$178=4,$E$178,IF($AF$180=4,$E$180,IF($AF$182=4,$E$182,IF($AF$184=4,$E$184,IF($AF$186=4,$E$186,"4th Place "&amp;$A266)))))</f>
        <v>4th Place Pool C2</v>
      </c>
      <c r="AI266" s="449"/>
      <c r="AJ266" s="449"/>
      <c r="AK266" s="450" t="str">
        <f>IF($AF$178=4,$E$179,IF($AF$180=4,$E$181,IF($AF$182=4,$E$183,IF($AF$184=4,$E$185,IF($AF$186=4,$E$187,"4th Place "&amp;$A266)))))</f>
        <v>4th Place Pool C2</v>
      </c>
      <c r="AL266" s="450"/>
      <c r="AM266" s="450"/>
      <c r="AN266" s="451">
        <f>IF($AF$178=4,$Z$178,IF($AF$180=4,$Z$180,IF($AF$182=4,$Z$182,IF($AF$184=4,$Z$184,IF($AF$186=4,$Z$186,0)))))</f>
        <v>0</v>
      </c>
      <c r="AO266" s="451"/>
      <c r="AP266" s="204">
        <f>IF(AND(J264=0,J265=0,J266=0),0,IF(AND(AN266&gt;AN264,AN266&gt;AN265),1,IF(OR(AN266&gt;AN264,AN266&gt;AN265),2,3)))</f>
        <v>3</v>
      </c>
    </row>
    <row r="267" spans="1:54" s="46" customFormat="1">
      <c r="A267" s="105"/>
      <c r="B267" s="205"/>
      <c r="C267" s="205"/>
      <c r="D267" s="205"/>
      <c r="E267" s="205"/>
      <c r="F267" s="205"/>
      <c r="G267" s="205"/>
      <c r="H267" s="205"/>
      <c r="I267" s="205"/>
      <c r="J267" s="205"/>
      <c r="K267" s="205"/>
      <c r="L267" s="205"/>
      <c r="M267" s="206"/>
      <c r="N267" s="206"/>
      <c r="O267" s="206"/>
      <c r="P267" s="206"/>
      <c r="Q267" s="206"/>
      <c r="R267" s="206"/>
      <c r="S267" s="206"/>
      <c r="T267" s="206"/>
      <c r="U267" s="206"/>
      <c r="V267" s="206"/>
      <c r="W267" s="206"/>
      <c r="AT267" s="508"/>
      <c r="AU267" s="508"/>
      <c r="AV267" s="508"/>
      <c r="AW267" s="512"/>
      <c r="AX267" s="508"/>
      <c r="AY267" s="508"/>
      <c r="AZ267" s="3"/>
      <c r="BA267" s="3"/>
    </row>
    <row r="268" spans="1:54">
      <c r="AW268" s="514"/>
      <c r="AX268" s="513"/>
      <c r="AY268" s="513"/>
      <c r="AZ268" s="115"/>
      <c r="BA268" s="115"/>
    </row>
    <row r="269" spans="1:54">
      <c r="AW269" s="514"/>
      <c r="AX269" s="513"/>
      <c r="AY269" s="513"/>
      <c r="AZ269" s="115"/>
      <c r="BA269" s="115"/>
    </row>
    <row r="270" spans="1:54">
      <c r="AW270" s="514"/>
      <c r="AX270" s="513"/>
      <c r="AY270" s="513"/>
      <c r="AZ270" s="115"/>
      <c r="BA270" s="115"/>
    </row>
    <row r="271" spans="1:54">
      <c r="AW271" s="514"/>
      <c r="AX271" s="513"/>
      <c r="AY271" s="513"/>
      <c r="AZ271" s="115"/>
      <c r="BA271" s="115"/>
    </row>
    <row r="272" spans="1:54">
      <c r="AW272" s="514"/>
      <c r="AX272" s="513"/>
      <c r="AY272" s="513"/>
      <c r="AZ272" s="115"/>
      <c r="BA272" s="115"/>
    </row>
    <row r="273" spans="45:53">
      <c r="AW273" s="514"/>
      <c r="AX273" s="513"/>
      <c r="AY273" s="513"/>
      <c r="AZ273" s="115"/>
      <c r="BA273" s="115"/>
    </row>
    <row r="274" spans="45:53">
      <c r="AW274" s="514"/>
      <c r="AX274" s="513"/>
      <c r="AY274" s="513"/>
      <c r="AZ274" s="115"/>
      <c r="BA274" s="115"/>
    </row>
    <row r="275" spans="45:53">
      <c r="AW275" s="514"/>
      <c r="AX275" s="513"/>
      <c r="AY275" s="513"/>
      <c r="AZ275" s="115"/>
      <c r="BA275" s="115"/>
    </row>
    <row r="276" spans="45:53">
      <c r="AS276" s="120"/>
      <c r="AT276" s="520"/>
      <c r="AU276" s="520"/>
      <c r="AW276" s="514"/>
      <c r="AX276" s="513"/>
      <c r="AY276" s="513"/>
      <c r="AZ276" s="115"/>
      <c r="BA276" s="115"/>
    </row>
    <row r="277" spans="45:53">
      <c r="AW277" s="514"/>
      <c r="AX277" s="513"/>
      <c r="AY277" s="513"/>
      <c r="AZ277" s="115"/>
      <c r="BA277" s="115"/>
    </row>
    <row r="279" spans="45:53">
      <c r="AW279" s="514"/>
      <c r="AX279" s="513"/>
      <c r="AY279" s="513"/>
      <c r="AZ279" s="117"/>
      <c r="BA279" s="117"/>
    </row>
    <row r="280" spans="45:53">
      <c r="AW280" s="514"/>
      <c r="AX280" s="513"/>
      <c r="AY280" s="513"/>
      <c r="AZ280" s="117"/>
      <c r="BA280" s="117"/>
    </row>
    <row r="281" spans="45:53">
      <c r="AW281" s="514"/>
      <c r="AX281" s="513"/>
      <c r="AY281" s="513"/>
      <c r="AZ281" s="117"/>
      <c r="BA281" s="117"/>
    </row>
    <row r="282" spans="45:53">
      <c r="AW282" s="514"/>
      <c r="AX282" s="513"/>
      <c r="AY282" s="513"/>
      <c r="AZ282" s="117"/>
      <c r="BA282" s="117"/>
    </row>
    <row r="283" spans="45:53">
      <c r="AW283" s="514"/>
      <c r="AX283" s="513"/>
      <c r="AY283" s="513"/>
      <c r="AZ283" s="117"/>
      <c r="BA283" s="117"/>
    </row>
    <row r="284" spans="45:53">
      <c r="AW284" s="514"/>
      <c r="AX284" s="513"/>
      <c r="AY284" s="513"/>
      <c r="AZ284" s="117"/>
      <c r="BA284" s="117"/>
    </row>
    <row r="285" spans="45:53">
      <c r="AW285" s="514"/>
      <c r="AX285" s="513"/>
      <c r="AY285" s="513"/>
      <c r="AZ285" s="117"/>
      <c r="BA285" s="117"/>
    </row>
    <row r="286" spans="45:53">
      <c r="AW286" s="514"/>
      <c r="AX286" s="513"/>
      <c r="AY286" s="513"/>
      <c r="AZ286" s="117"/>
      <c r="BA286" s="117"/>
    </row>
    <row r="287" spans="45:53">
      <c r="AW287" s="517"/>
      <c r="AX287" s="516"/>
      <c r="AY287" s="516"/>
      <c r="AZ287" s="176"/>
      <c r="BA287" s="176"/>
    </row>
    <row r="288" spans="45:53">
      <c r="AW288" s="519"/>
      <c r="AX288" s="518"/>
      <c r="AY288" s="518"/>
      <c r="AZ288" s="182"/>
      <c r="BA288" s="182"/>
    </row>
    <row r="289" spans="49:53">
      <c r="AW289" s="519"/>
      <c r="AX289" s="518"/>
      <c r="AY289" s="518"/>
      <c r="AZ289" s="182"/>
      <c r="BA289" s="182"/>
    </row>
    <row r="290" spans="49:53">
      <c r="AW290" s="514"/>
      <c r="AX290" s="513"/>
      <c r="AY290" s="513"/>
      <c r="AZ290" s="117"/>
      <c r="BA290" s="117"/>
    </row>
    <row r="291" spans="49:53">
      <c r="AW291" s="514"/>
      <c r="AX291" s="513"/>
      <c r="AY291" s="513"/>
      <c r="AZ291" s="117"/>
      <c r="BA291" s="117"/>
    </row>
    <row r="349" spans="49:49">
      <c r="AW349" s="508"/>
    </row>
    <row r="350" spans="49:49">
      <c r="AW350" s="508"/>
    </row>
    <row r="351" spans="49:49">
      <c r="AW351" s="508"/>
    </row>
    <row r="352" spans="49:49">
      <c r="AW352" s="508"/>
    </row>
    <row r="353" spans="49:49">
      <c r="AW353" s="508"/>
    </row>
    <row r="354" spans="49:49">
      <c r="AW354" s="508"/>
    </row>
    <row r="355" spans="49:49">
      <c r="AW355" s="508"/>
    </row>
    <row r="356" spans="49:49">
      <c r="AW356" s="508"/>
    </row>
    <row r="357" spans="49:49">
      <c r="AW357" s="508"/>
    </row>
    <row r="403" spans="49:49">
      <c r="AW403" s="508"/>
    </row>
    <row r="404" spans="49:49">
      <c r="AW404" s="508"/>
    </row>
    <row r="405" spans="49:49">
      <c r="AW405" s="508"/>
    </row>
    <row r="406" spans="49:49">
      <c r="AW406" s="508"/>
    </row>
    <row r="407" spans="49:49">
      <c r="AW407" s="508"/>
    </row>
    <row r="408" spans="49:49">
      <c r="AW408" s="508"/>
    </row>
    <row r="409" spans="49:49">
      <c r="AW409" s="508"/>
    </row>
    <row r="410" spans="49:49">
      <c r="AW410" s="508"/>
    </row>
    <row r="411" spans="49:49">
      <c r="AW411" s="508"/>
    </row>
    <row r="457" spans="49:49">
      <c r="AW457" s="508"/>
    </row>
    <row r="458" spans="49:49">
      <c r="AW458" s="508"/>
    </row>
    <row r="459" spans="49:49">
      <c r="AW459" s="508"/>
    </row>
    <row r="460" spans="49:49">
      <c r="AW460" s="508"/>
    </row>
    <row r="461" spans="49:49">
      <c r="AW461" s="508"/>
    </row>
    <row r="462" spans="49:49">
      <c r="AW462" s="508"/>
    </row>
    <row r="463" spans="49:49">
      <c r="AW463" s="508"/>
    </row>
    <row r="464" spans="49:49">
      <c r="AW464" s="508"/>
    </row>
    <row r="465" spans="49:49">
      <c r="AW465" s="508"/>
    </row>
    <row r="511" spans="49:49">
      <c r="AW511" s="508"/>
    </row>
    <row r="512" spans="49:49">
      <c r="AW512" s="508"/>
    </row>
    <row r="513" spans="49:49">
      <c r="AW513" s="508"/>
    </row>
    <row r="514" spans="49:49">
      <c r="AW514" s="508"/>
    </row>
    <row r="515" spans="49:49">
      <c r="AW515" s="508"/>
    </row>
    <row r="516" spans="49:49">
      <c r="AW516" s="508"/>
    </row>
    <row r="517" spans="49:49">
      <c r="AW517" s="508"/>
    </row>
    <row r="518" spans="49:49">
      <c r="AW518" s="508"/>
    </row>
    <row r="519" spans="49:49">
      <c r="AW519" s="508"/>
    </row>
  </sheetData>
  <sheetProtection formatCells="0" selectLockedCells="1"/>
  <mergeCells count="466">
    <mergeCell ref="X266:AB266"/>
    <mergeCell ref="AK264:AM264"/>
    <mergeCell ref="AN264:AO264"/>
    <mergeCell ref="B265:E265"/>
    <mergeCell ref="F265:I265"/>
    <mergeCell ref="J265:K265"/>
    <mergeCell ref="M265:Q265"/>
    <mergeCell ref="R265:T265"/>
    <mergeCell ref="U265:V265"/>
    <mergeCell ref="X265:AB265"/>
    <mergeCell ref="B266:E266"/>
    <mergeCell ref="F266:I266"/>
    <mergeCell ref="J266:K266"/>
    <mergeCell ref="M266:Q266"/>
    <mergeCell ref="R266:T266"/>
    <mergeCell ref="U266:V266"/>
    <mergeCell ref="AC266:AE266"/>
    <mergeCell ref="AH266:AJ266"/>
    <mergeCell ref="AK266:AM266"/>
    <mergeCell ref="AN266:AO266"/>
    <mergeCell ref="AH265:AJ265"/>
    <mergeCell ref="AK265:AM265"/>
    <mergeCell ref="AN265:AO265"/>
    <mergeCell ref="AC265:AE265"/>
    <mergeCell ref="B264:E264"/>
    <mergeCell ref="F264:I264"/>
    <mergeCell ref="J264:K264"/>
    <mergeCell ref="M264:Q264"/>
    <mergeCell ref="R264:T264"/>
    <mergeCell ref="U264:V264"/>
    <mergeCell ref="X264:AB264"/>
    <mergeCell ref="AC264:AE264"/>
    <mergeCell ref="AH264:AJ264"/>
    <mergeCell ref="AG227:AK227"/>
    <mergeCell ref="A259:AL259"/>
    <mergeCell ref="AM259:AP259"/>
    <mergeCell ref="A260:AQ260"/>
    <mergeCell ref="A261:AQ261"/>
    <mergeCell ref="A262:A263"/>
    <mergeCell ref="B262:L262"/>
    <mergeCell ref="M262:W262"/>
    <mergeCell ref="X262:AG262"/>
    <mergeCell ref="AH262:AP262"/>
    <mergeCell ref="B263:E263"/>
    <mergeCell ref="F263:I263"/>
    <mergeCell ref="J263:K263"/>
    <mergeCell ref="M263:Q263"/>
    <mergeCell ref="R263:T263"/>
    <mergeCell ref="U263:V263"/>
    <mergeCell ref="X263:AB263"/>
    <mergeCell ref="AC263:AE263"/>
    <mergeCell ref="AH263:AJ263"/>
    <mergeCell ref="AK263:AM263"/>
    <mergeCell ref="AN263:AO263"/>
    <mergeCell ref="AC192:AE192"/>
    <mergeCell ref="B193:D193"/>
    <mergeCell ref="E193:G193"/>
    <mergeCell ref="H193:J193"/>
    <mergeCell ref="K193:M193"/>
    <mergeCell ref="N193:P193"/>
    <mergeCell ref="Q193:S193"/>
    <mergeCell ref="T193:V193"/>
    <mergeCell ref="W193:Y193"/>
    <mergeCell ref="Z193:AB193"/>
    <mergeCell ref="AC193:AE193"/>
    <mergeCell ref="B192:D192"/>
    <mergeCell ref="E192:G192"/>
    <mergeCell ref="H192:J192"/>
    <mergeCell ref="K192:M192"/>
    <mergeCell ref="N192:P192"/>
    <mergeCell ref="Q192:S192"/>
    <mergeCell ref="T192:V192"/>
    <mergeCell ref="W192:Y192"/>
    <mergeCell ref="Z192:AB192"/>
    <mergeCell ref="Z190:AB190"/>
    <mergeCell ref="AC190:AE190"/>
    <mergeCell ref="B191:D191"/>
    <mergeCell ref="E191:G191"/>
    <mergeCell ref="H191:J191"/>
    <mergeCell ref="K191:M191"/>
    <mergeCell ref="N191:P191"/>
    <mergeCell ref="Q191:S191"/>
    <mergeCell ref="T191:V191"/>
    <mergeCell ref="W191:Y191"/>
    <mergeCell ref="Z191:AB191"/>
    <mergeCell ref="AC191:AE191"/>
    <mergeCell ref="AG186:AG187"/>
    <mergeCell ref="AH186:AI187"/>
    <mergeCell ref="B187:D187"/>
    <mergeCell ref="E187:K187"/>
    <mergeCell ref="B188:AI188"/>
    <mergeCell ref="B189:D189"/>
    <mergeCell ref="E189:G189"/>
    <mergeCell ref="H189:J189"/>
    <mergeCell ref="K189:M189"/>
    <mergeCell ref="N189:P189"/>
    <mergeCell ref="Q189:S189"/>
    <mergeCell ref="T189:V189"/>
    <mergeCell ref="W189:Y189"/>
    <mergeCell ref="Z189:AB189"/>
    <mergeCell ref="AC189:AE189"/>
    <mergeCell ref="AF189:AQ192"/>
    <mergeCell ref="B190:D190"/>
    <mergeCell ref="E190:G190"/>
    <mergeCell ref="H190:J190"/>
    <mergeCell ref="K190:M190"/>
    <mergeCell ref="N190:P190"/>
    <mergeCell ref="Q190:S190"/>
    <mergeCell ref="T190:V190"/>
    <mergeCell ref="W190:Y190"/>
    <mergeCell ref="A186:A187"/>
    <mergeCell ref="B186:D186"/>
    <mergeCell ref="E186:K186"/>
    <mergeCell ref="L186:P187"/>
    <mergeCell ref="R186:V187"/>
    <mergeCell ref="W186:Y187"/>
    <mergeCell ref="Z186:AB187"/>
    <mergeCell ref="AC186:AE187"/>
    <mergeCell ref="AF186:AF187"/>
    <mergeCell ref="AG182:AG183"/>
    <mergeCell ref="AH182:AI183"/>
    <mergeCell ref="B183:D183"/>
    <mergeCell ref="E183:K183"/>
    <mergeCell ref="A184:A185"/>
    <mergeCell ref="B184:D184"/>
    <mergeCell ref="E184:K184"/>
    <mergeCell ref="L184:P185"/>
    <mergeCell ref="R184:V185"/>
    <mergeCell ref="W184:Y185"/>
    <mergeCell ref="Z184:AB185"/>
    <mergeCell ref="AC184:AE185"/>
    <mergeCell ref="AF184:AF185"/>
    <mergeCell ref="AG184:AG185"/>
    <mergeCell ref="AH184:AI185"/>
    <mergeCell ref="B185:D185"/>
    <mergeCell ref="E185:K185"/>
    <mergeCell ref="A182:A183"/>
    <mergeCell ref="B182:D182"/>
    <mergeCell ref="E182:K182"/>
    <mergeCell ref="L182:P183"/>
    <mergeCell ref="R182:V183"/>
    <mergeCell ref="W182:Y183"/>
    <mergeCell ref="Z182:AB183"/>
    <mergeCell ref="AC182:AE183"/>
    <mergeCell ref="AF182:AF183"/>
    <mergeCell ref="AG178:AG179"/>
    <mergeCell ref="AH178:AI179"/>
    <mergeCell ref="B179:D179"/>
    <mergeCell ref="E179:K179"/>
    <mergeCell ref="A180:A181"/>
    <mergeCell ref="B180:D180"/>
    <mergeCell ref="E180:K180"/>
    <mergeCell ref="L180:P181"/>
    <mergeCell ref="R180:V181"/>
    <mergeCell ref="W180:Y181"/>
    <mergeCell ref="Z180:AB181"/>
    <mergeCell ref="AC180:AE181"/>
    <mergeCell ref="AF180:AF181"/>
    <mergeCell ref="AG180:AG181"/>
    <mergeCell ref="AH180:AI181"/>
    <mergeCell ref="B181:D181"/>
    <mergeCell ref="E181:K181"/>
    <mergeCell ref="AG142:AK142"/>
    <mergeCell ref="A174:AL174"/>
    <mergeCell ref="AM174:AP174"/>
    <mergeCell ref="A175:AQ175"/>
    <mergeCell ref="C176:H176"/>
    <mergeCell ref="I176:J176"/>
    <mergeCell ref="K176:AI176"/>
    <mergeCell ref="B177:K177"/>
    <mergeCell ref="L177:P177"/>
    <mergeCell ref="Q177:Q187"/>
    <mergeCell ref="R177:V177"/>
    <mergeCell ref="W177:Y177"/>
    <mergeCell ref="Z177:AB177"/>
    <mergeCell ref="AC177:AE177"/>
    <mergeCell ref="AH177:AI177"/>
    <mergeCell ref="A178:A179"/>
    <mergeCell ref="B178:D178"/>
    <mergeCell ref="E178:K178"/>
    <mergeCell ref="L178:P179"/>
    <mergeCell ref="R178:V179"/>
    <mergeCell ref="W178:Y179"/>
    <mergeCell ref="Z178:AB179"/>
    <mergeCell ref="AC178:AE179"/>
    <mergeCell ref="AF178:AF179"/>
    <mergeCell ref="AC107:AE107"/>
    <mergeCell ref="B108:D108"/>
    <mergeCell ref="E108:G108"/>
    <mergeCell ref="H108:J108"/>
    <mergeCell ref="K108:M108"/>
    <mergeCell ref="N108:P108"/>
    <mergeCell ref="Q108:S108"/>
    <mergeCell ref="T108:V108"/>
    <mergeCell ref="W108:Y108"/>
    <mergeCell ref="Z108:AB108"/>
    <mergeCell ref="AC108:AE108"/>
    <mergeCell ref="B107:D107"/>
    <mergeCell ref="E107:G107"/>
    <mergeCell ref="H107:J107"/>
    <mergeCell ref="K107:M107"/>
    <mergeCell ref="N107:P107"/>
    <mergeCell ref="Q107:S107"/>
    <mergeCell ref="T107:V107"/>
    <mergeCell ref="W107:Y107"/>
    <mergeCell ref="Z107:AB107"/>
    <mergeCell ref="Z105:AB105"/>
    <mergeCell ref="AC105:AE105"/>
    <mergeCell ref="B106:D106"/>
    <mergeCell ref="E106:G106"/>
    <mergeCell ref="H106:J106"/>
    <mergeCell ref="K106:M106"/>
    <mergeCell ref="N106:P106"/>
    <mergeCell ref="Q106:S106"/>
    <mergeCell ref="T106:V106"/>
    <mergeCell ref="W106:Y106"/>
    <mergeCell ref="Z106:AB106"/>
    <mergeCell ref="AC106:AE106"/>
    <mergeCell ref="AG101:AG102"/>
    <mergeCell ref="AH101:AI102"/>
    <mergeCell ref="B102:D102"/>
    <mergeCell ref="E102:K102"/>
    <mergeCell ref="B103:AI103"/>
    <mergeCell ref="B104:D104"/>
    <mergeCell ref="E104:G104"/>
    <mergeCell ref="H104:J104"/>
    <mergeCell ref="K104:M104"/>
    <mergeCell ref="N104:P104"/>
    <mergeCell ref="Q104:S104"/>
    <mergeCell ref="T104:V104"/>
    <mergeCell ref="W104:Y104"/>
    <mergeCell ref="Z104:AB104"/>
    <mergeCell ref="AC104:AE104"/>
    <mergeCell ref="AF104:AQ107"/>
    <mergeCell ref="B105:D105"/>
    <mergeCell ref="E105:G105"/>
    <mergeCell ref="H105:J105"/>
    <mergeCell ref="K105:M105"/>
    <mergeCell ref="N105:P105"/>
    <mergeCell ref="Q105:S105"/>
    <mergeCell ref="T105:V105"/>
    <mergeCell ref="W105:Y105"/>
    <mergeCell ref="A101:A102"/>
    <mergeCell ref="B101:D101"/>
    <mergeCell ref="E101:K101"/>
    <mergeCell ref="L101:P102"/>
    <mergeCell ref="R101:V102"/>
    <mergeCell ref="W101:Y102"/>
    <mergeCell ref="Z101:AB102"/>
    <mergeCell ref="AC101:AE102"/>
    <mergeCell ref="AF101:AF102"/>
    <mergeCell ref="AG97:AG98"/>
    <mergeCell ref="AH97:AI98"/>
    <mergeCell ref="B98:D98"/>
    <mergeCell ref="E98:K98"/>
    <mergeCell ref="A99:A100"/>
    <mergeCell ref="B99:D99"/>
    <mergeCell ref="E99:K99"/>
    <mergeCell ref="L99:P100"/>
    <mergeCell ref="R99:V100"/>
    <mergeCell ref="W99:Y100"/>
    <mergeCell ref="Z99:AB100"/>
    <mergeCell ref="AC99:AE100"/>
    <mergeCell ref="AF99:AF100"/>
    <mergeCell ref="AG99:AG100"/>
    <mergeCell ref="AH99:AI100"/>
    <mergeCell ref="B100:D100"/>
    <mergeCell ref="E100:K100"/>
    <mergeCell ref="A97:A98"/>
    <mergeCell ref="B97:D97"/>
    <mergeCell ref="E97:K97"/>
    <mergeCell ref="L97:P98"/>
    <mergeCell ref="R97:V98"/>
    <mergeCell ref="W97:Y98"/>
    <mergeCell ref="Z97:AB98"/>
    <mergeCell ref="AC97:AE98"/>
    <mergeCell ref="AF97:AF98"/>
    <mergeCell ref="AG93:AG94"/>
    <mergeCell ref="AH93:AI94"/>
    <mergeCell ref="B94:D94"/>
    <mergeCell ref="E94:K94"/>
    <mergeCell ref="A95:A96"/>
    <mergeCell ref="B95:D95"/>
    <mergeCell ref="E95:K95"/>
    <mergeCell ref="L95:P96"/>
    <mergeCell ref="R95:V96"/>
    <mergeCell ref="W95:Y96"/>
    <mergeCell ref="Z95:AB96"/>
    <mergeCell ref="AC95:AE96"/>
    <mergeCell ref="AF95:AF96"/>
    <mergeCell ref="AG95:AG96"/>
    <mergeCell ref="AH95:AI96"/>
    <mergeCell ref="B96:D96"/>
    <mergeCell ref="E96:K96"/>
    <mergeCell ref="AG57:AK57"/>
    <mergeCell ref="A89:AL89"/>
    <mergeCell ref="AM89:AP89"/>
    <mergeCell ref="A90:AQ90"/>
    <mergeCell ref="C91:H91"/>
    <mergeCell ref="I91:J91"/>
    <mergeCell ref="K91:AI91"/>
    <mergeCell ref="B92:K92"/>
    <mergeCell ref="L92:P92"/>
    <mergeCell ref="Q92:Q102"/>
    <mergeCell ref="R92:V92"/>
    <mergeCell ref="W92:Y92"/>
    <mergeCell ref="Z92:AB92"/>
    <mergeCell ref="AC92:AE92"/>
    <mergeCell ref="AH92:AI92"/>
    <mergeCell ref="A93:A94"/>
    <mergeCell ref="B93:D93"/>
    <mergeCell ref="E93:K93"/>
    <mergeCell ref="L93:P94"/>
    <mergeCell ref="R93:V94"/>
    <mergeCell ref="W93:Y94"/>
    <mergeCell ref="Z93:AB94"/>
    <mergeCell ref="AC93:AE94"/>
    <mergeCell ref="AF93:AF94"/>
    <mergeCell ref="AC22:AE22"/>
    <mergeCell ref="B23:D23"/>
    <mergeCell ref="E23:G23"/>
    <mergeCell ref="H23:J23"/>
    <mergeCell ref="K23:M23"/>
    <mergeCell ref="N23:P23"/>
    <mergeCell ref="Q23:S23"/>
    <mergeCell ref="T23:V23"/>
    <mergeCell ref="W23:Y23"/>
    <mergeCell ref="Z23:AB23"/>
    <mergeCell ref="AC23:AE23"/>
    <mergeCell ref="B22:D22"/>
    <mergeCell ref="E22:G22"/>
    <mergeCell ref="H22:J22"/>
    <mergeCell ref="K22:M22"/>
    <mergeCell ref="N22:P22"/>
    <mergeCell ref="Q22:S22"/>
    <mergeCell ref="T22:V22"/>
    <mergeCell ref="W22:Y22"/>
    <mergeCell ref="Z22:AB22"/>
    <mergeCell ref="W20:Y20"/>
    <mergeCell ref="Z20:AB20"/>
    <mergeCell ref="AC20:AE20"/>
    <mergeCell ref="B21:D21"/>
    <mergeCell ref="E21:G21"/>
    <mergeCell ref="H21:J21"/>
    <mergeCell ref="K21:M21"/>
    <mergeCell ref="N21:P21"/>
    <mergeCell ref="Q21:S21"/>
    <mergeCell ref="T21:V21"/>
    <mergeCell ref="W21:Y21"/>
    <mergeCell ref="Z21:AB21"/>
    <mergeCell ref="AC21:AE21"/>
    <mergeCell ref="AG16:AG17"/>
    <mergeCell ref="AH16:AI17"/>
    <mergeCell ref="B17:D17"/>
    <mergeCell ref="E17:K17"/>
    <mergeCell ref="B18:AI18"/>
    <mergeCell ref="AT18:AY19"/>
    <mergeCell ref="B19:D19"/>
    <mergeCell ref="E19:G19"/>
    <mergeCell ref="H19:J19"/>
    <mergeCell ref="K19:M19"/>
    <mergeCell ref="N19:P19"/>
    <mergeCell ref="Q19:S19"/>
    <mergeCell ref="T19:V19"/>
    <mergeCell ref="W19:Y19"/>
    <mergeCell ref="Z19:AB19"/>
    <mergeCell ref="AC19:AE19"/>
    <mergeCell ref="AF19:AQ22"/>
    <mergeCell ref="B20:D20"/>
    <mergeCell ref="E20:G20"/>
    <mergeCell ref="H20:J20"/>
    <mergeCell ref="K20:M20"/>
    <mergeCell ref="N20:P20"/>
    <mergeCell ref="Q20:S20"/>
    <mergeCell ref="T20:V20"/>
    <mergeCell ref="A16:A17"/>
    <mergeCell ref="B16:D16"/>
    <mergeCell ref="E16:K16"/>
    <mergeCell ref="L16:P17"/>
    <mergeCell ref="R16:V17"/>
    <mergeCell ref="W16:Y17"/>
    <mergeCell ref="Z16:AB17"/>
    <mergeCell ref="AC16:AE17"/>
    <mergeCell ref="AF16:AF17"/>
    <mergeCell ref="AH12:AI13"/>
    <mergeCell ref="B13:D13"/>
    <mergeCell ref="E13:K13"/>
    <mergeCell ref="A14:A15"/>
    <mergeCell ref="B14:D14"/>
    <mergeCell ref="E14:K14"/>
    <mergeCell ref="L14:P15"/>
    <mergeCell ref="R14:V15"/>
    <mergeCell ref="W14:Y15"/>
    <mergeCell ref="AC14:AE15"/>
    <mergeCell ref="AF14:AF15"/>
    <mergeCell ref="AG14:AG15"/>
    <mergeCell ref="AH14:AI15"/>
    <mergeCell ref="B15:D15"/>
    <mergeCell ref="E15:K15"/>
    <mergeCell ref="A12:A13"/>
    <mergeCell ref="B12:D12"/>
    <mergeCell ref="E12:K12"/>
    <mergeCell ref="L12:P13"/>
    <mergeCell ref="R12:V13"/>
    <mergeCell ref="W12:Y13"/>
    <mergeCell ref="AC12:AE13"/>
    <mergeCell ref="AF12:AF13"/>
    <mergeCell ref="AG12:AG13"/>
    <mergeCell ref="A10:A11"/>
    <mergeCell ref="B10:D10"/>
    <mergeCell ref="E10:K10"/>
    <mergeCell ref="L10:P11"/>
    <mergeCell ref="R10:V11"/>
    <mergeCell ref="AC10:AE11"/>
    <mergeCell ref="AF10:AF11"/>
    <mergeCell ref="AG10:AG11"/>
    <mergeCell ref="AH10:AI11"/>
    <mergeCell ref="B11:D11"/>
    <mergeCell ref="E11:K11"/>
    <mergeCell ref="AC7:AE7"/>
    <mergeCell ref="AH7:AI7"/>
    <mergeCell ref="A8:A9"/>
    <mergeCell ref="B8:D8"/>
    <mergeCell ref="E8:K8"/>
    <mergeCell ref="L8:P9"/>
    <mergeCell ref="R8:V9"/>
    <mergeCell ref="W8:Y9"/>
    <mergeCell ref="Z8:AB9"/>
    <mergeCell ref="AC8:AE9"/>
    <mergeCell ref="AF8:AF9"/>
    <mergeCell ref="AG8:AG9"/>
    <mergeCell ref="AH8:AI9"/>
    <mergeCell ref="B9:D9"/>
    <mergeCell ref="E9:K9"/>
    <mergeCell ref="B7:K7"/>
    <mergeCell ref="L7:P7"/>
    <mergeCell ref="Q7:Q17"/>
    <mergeCell ref="R7:V7"/>
    <mergeCell ref="W7:Y7"/>
    <mergeCell ref="Z7:AB7"/>
    <mergeCell ref="W10:Y11"/>
    <mergeCell ref="Z10:AB11"/>
    <mergeCell ref="Z12:AB13"/>
    <mergeCell ref="Z14:AB15"/>
    <mergeCell ref="C6:H6"/>
    <mergeCell ref="I6:J6"/>
    <mergeCell ref="K6:AI6"/>
    <mergeCell ref="H4:M4"/>
    <mergeCell ref="N4:T4"/>
    <mergeCell ref="U4:Y4"/>
    <mergeCell ref="Z4:AE4"/>
    <mergeCell ref="B5:J5"/>
    <mergeCell ref="K5:AE5"/>
    <mergeCell ref="AT1:AW1"/>
    <mergeCell ref="AX1:AY1"/>
    <mergeCell ref="J2:T2"/>
    <mergeCell ref="U2:W2"/>
    <mergeCell ref="X2:AE2"/>
    <mergeCell ref="AD3:AE3"/>
    <mergeCell ref="P3:T3"/>
    <mergeCell ref="U3:Z3"/>
    <mergeCell ref="AB3:AC3"/>
    <mergeCell ref="A1:AE1"/>
    <mergeCell ref="B3:C3"/>
    <mergeCell ref="D3:K3"/>
    <mergeCell ref="L3:O3"/>
  </mergeCells>
  <conditionalFormatting sqref="A8 A93 A178">
    <cfRule type="expression" dxfId="1155" priority="204" stopIfTrue="1">
      <formula>IF(AK9&gt;0,0,1)</formula>
    </cfRule>
  </conditionalFormatting>
  <conditionalFormatting sqref="A10:A11 A95:A96 A180:A181">
    <cfRule type="expression" dxfId="1154" priority="203" stopIfTrue="1">
      <formula>IF(AK9&gt;1,0,1)</formula>
    </cfRule>
  </conditionalFormatting>
  <conditionalFormatting sqref="A12:A13 A97:A98 A182:A183">
    <cfRule type="expression" dxfId="1153" priority="202" stopIfTrue="1">
      <formula>IF(AK9&gt;2,0,1)</formula>
    </cfRule>
  </conditionalFormatting>
  <conditionalFormatting sqref="A14:A15 A99:A100 A184:A185">
    <cfRule type="expression" dxfId="1152" priority="201" stopIfTrue="1">
      <formula>IF(AK9&gt;3,0,1)</formula>
    </cfRule>
  </conditionalFormatting>
  <conditionalFormatting sqref="A16:A17 A101:A102 A186:A187">
    <cfRule type="expression" dxfId="1151" priority="200" stopIfTrue="1">
      <formula>IF(AK9&gt;4,0,1)</formula>
    </cfRule>
  </conditionalFormatting>
  <conditionalFormatting sqref="B93 B8 B178">
    <cfRule type="expression" dxfId="1150" priority="199" stopIfTrue="1">
      <formula>IF(AK9&gt;0,0,1)</formula>
    </cfRule>
  </conditionalFormatting>
  <conditionalFormatting sqref="B94 B9 B179">
    <cfRule type="expression" dxfId="1149" priority="198" stopIfTrue="1">
      <formula>IF(AK9&gt;0,0,1)</formula>
    </cfRule>
  </conditionalFormatting>
  <conditionalFormatting sqref="B95 B10 B180">
    <cfRule type="expression" dxfId="1148" priority="197" stopIfTrue="1">
      <formula>IF(AK9&gt;1,0,1)</formula>
    </cfRule>
  </conditionalFormatting>
  <conditionalFormatting sqref="B96:D96 B11:D11 B181:D181">
    <cfRule type="expression" dxfId="1147" priority="196" stopIfTrue="1">
      <formula>IF(AK9&gt;1,0,1)</formula>
    </cfRule>
  </conditionalFormatting>
  <conditionalFormatting sqref="B97:D97 B12:D12 B182:D182">
    <cfRule type="expression" dxfId="1146" priority="195" stopIfTrue="1">
      <formula>IF(AK9&gt;2,0,1)</formula>
    </cfRule>
  </conditionalFormatting>
  <conditionalFormatting sqref="B98:D98 B13:D13 B183:D183">
    <cfRule type="expression" dxfId="1145" priority="194" stopIfTrue="1">
      <formula>IF(AK9&gt;2,0,1)</formula>
    </cfRule>
  </conditionalFormatting>
  <conditionalFormatting sqref="B99:D99 B14:D14 B184:D184">
    <cfRule type="expression" dxfId="1144" priority="193" stopIfTrue="1">
      <formula>IF(AK9&gt;3,0,1)</formula>
    </cfRule>
  </conditionalFormatting>
  <conditionalFormatting sqref="B100:D100 B15:D15 B185:D185">
    <cfRule type="expression" dxfId="1143" priority="192" stopIfTrue="1">
      <formula>IF(AK9&gt;3,0,1)</formula>
    </cfRule>
  </conditionalFormatting>
  <conditionalFormatting sqref="B101:D101 B16:D16 B186:D186">
    <cfRule type="expression" dxfId="1142" priority="191" stopIfTrue="1">
      <formula>IF(AK9&gt;4,0,1)</formula>
    </cfRule>
  </conditionalFormatting>
  <conditionalFormatting sqref="B102:D102 B17:D17 B187:D187">
    <cfRule type="expression" dxfId="1141" priority="190" stopIfTrue="1">
      <formula>IF(AK9&gt;4,0,1)</formula>
    </cfRule>
  </conditionalFormatting>
  <conditionalFormatting sqref="E8 E93 E178">
    <cfRule type="expression" dxfId="1140" priority="189" stopIfTrue="1">
      <formula>IF(AK9&gt;0,0,1)</formula>
    </cfRule>
  </conditionalFormatting>
  <conditionalFormatting sqref="E9 E94 E179">
    <cfRule type="expression" dxfId="1139" priority="188" stopIfTrue="1">
      <formula>IF(AK9&gt;0,0,1)</formula>
    </cfRule>
  </conditionalFormatting>
  <conditionalFormatting sqref="E10 E95 E180">
    <cfRule type="expression" dxfId="1138" priority="187" stopIfTrue="1">
      <formula>IF(AK9&gt;1,0,1)</formula>
    </cfRule>
  </conditionalFormatting>
  <conditionalFormatting sqref="E11 E96 E181">
    <cfRule type="expression" dxfId="1137" priority="186" stopIfTrue="1">
      <formula>IF(AK9&gt;1,0,1)</formula>
    </cfRule>
  </conditionalFormatting>
  <conditionalFormatting sqref="E12 E97 E182">
    <cfRule type="expression" dxfId="1136" priority="185" stopIfTrue="1">
      <formula>IF(AK9&gt;2,0,1)</formula>
    </cfRule>
  </conditionalFormatting>
  <conditionalFormatting sqref="E13 E98 E183">
    <cfRule type="expression" dxfId="1135" priority="184" stopIfTrue="1">
      <formula>IF(AK9&gt;2,0,1)</formula>
    </cfRule>
  </conditionalFormatting>
  <conditionalFormatting sqref="E14 E99 E184">
    <cfRule type="expression" dxfId="1134" priority="183" stopIfTrue="1">
      <formula>IF(AK9&gt;3,0,1)</formula>
    </cfRule>
  </conditionalFormatting>
  <conditionalFormatting sqref="E15 E100 E185">
    <cfRule type="expression" dxfId="1133" priority="182" stopIfTrue="1">
      <formula>IF(AK9&gt;3,0,1)</formula>
    </cfRule>
  </conditionalFormatting>
  <conditionalFormatting sqref="E16 E101 E186">
    <cfRule type="expression" dxfId="1132" priority="181" stopIfTrue="1">
      <formula>IF(AK9&gt;4,0,1)</formula>
    </cfRule>
  </conditionalFormatting>
  <conditionalFormatting sqref="E17 E102 E187">
    <cfRule type="expression" dxfId="1131" priority="180" stopIfTrue="1">
      <formula>IF(AK9&gt;4,0,1)</formula>
    </cfRule>
  </conditionalFormatting>
  <conditionalFormatting sqref="AC8 AC93 AC178">
    <cfRule type="expression" dxfId="1130" priority="179" stopIfTrue="1">
      <formula>IF(AK11=1,IF(AK9&gt;0,0,1),1)</formula>
    </cfRule>
  </conditionalFormatting>
  <conditionalFormatting sqref="AC10:AE11 AC95:AE96 AC180:AE181">
    <cfRule type="expression" dxfId="1129" priority="178" stopIfTrue="1">
      <formula>IF(AK11=1,IF(AK9&gt;1,0,1),1)</formula>
    </cfRule>
  </conditionalFormatting>
  <conditionalFormatting sqref="AC12:AE13 AC97:AE98 AC182:AE183">
    <cfRule type="expression" dxfId="1128" priority="177" stopIfTrue="1">
      <formula>IF(AK11=1,IF(AK9&gt;2,0,1),1)</formula>
    </cfRule>
  </conditionalFormatting>
  <conditionalFormatting sqref="AC14:AE15 AC99:AE100 AC184:AE185">
    <cfRule type="expression" dxfId="1127" priority="176" stopIfTrue="1">
      <formula>IF(AK11=1,IF(AK9&gt;3,0,1),1)</formula>
    </cfRule>
  </conditionalFormatting>
  <conditionalFormatting sqref="AC16:AE17 AC101:AE102 AC186:AE187">
    <cfRule type="expression" dxfId="1126" priority="175" stopIfTrue="1">
      <formula>IF(AK11=1,IF(AK9&gt;4,0,1),1)</formula>
    </cfRule>
  </conditionalFormatting>
  <conditionalFormatting sqref="AH8 AH93 AH178">
    <cfRule type="expression" dxfId="1125" priority="174" stopIfTrue="1">
      <formula>IF(AK9&gt;0,0,1)</formula>
    </cfRule>
  </conditionalFormatting>
  <conditionalFormatting sqref="AH10:AI11 AH95:AI96 AH180:AI181">
    <cfRule type="expression" dxfId="1124" priority="173" stopIfTrue="1">
      <formula>IF(AK9&gt;1,0,1)</formula>
    </cfRule>
  </conditionalFormatting>
  <conditionalFormatting sqref="AH12:AI13 AH97:AI98 AH182:AI183">
    <cfRule type="expression" dxfId="1123" priority="172" stopIfTrue="1">
      <formula>IF(AK9&gt;2,0,1)</formula>
    </cfRule>
  </conditionalFormatting>
  <conditionalFormatting sqref="AH14:AI15 AH99:AI100 AH184:AI185">
    <cfRule type="expression" dxfId="1122" priority="171" stopIfTrue="1">
      <formula>IF(AK9&gt;3,0,1)</formula>
    </cfRule>
  </conditionalFormatting>
  <conditionalFormatting sqref="AH16:AI17 AH101:AI102 AH186:AI187">
    <cfRule type="expression" dxfId="1121" priority="170" stopIfTrue="1">
      <formula>IF(AK9&gt;4,0,1)</formula>
    </cfRule>
  </conditionalFormatting>
  <conditionalFormatting sqref="B19:D19">
    <cfRule type="expression" dxfId="1120" priority="169" stopIfTrue="1">
      <formula>IF(AK8&gt;0,0,1)</formula>
    </cfRule>
  </conditionalFormatting>
  <conditionalFormatting sqref="E19:G19">
    <cfRule type="expression" dxfId="1119" priority="168" stopIfTrue="1">
      <formula>IF(AK8&gt;1,0,1)</formula>
    </cfRule>
  </conditionalFormatting>
  <conditionalFormatting sqref="H19:J19">
    <cfRule type="expression" dxfId="1118" priority="167" stopIfTrue="1">
      <formula>IF(AK8&gt;2,0,1)</formula>
    </cfRule>
  </conditionalFormatting>
  <conditionalFormatting sqref="K19:M19 K104:M104 K189:M189">
    <cfRule type="expression" dxfId="1117" priority="166" stopIfTrue="1">
      <formula>IF(AK8&gt;3,0,1)</formula>
    </cfRule>
  </conditionalFormatting>
  <conditionalFormatting sqref="N19:P19 N104:P104 N189:P189">
    <cfRule type="expression" dxfId="1116" priority="165" stopIfTrue="1">
      <formula>IF(AK8&gt;4,0,1)</formula>
    </cfRule>
  </conditionalFormatting>
  <conditionalFormatting sqref="Q19:S19 Q104:S104 Q189:S189">
    <cfRule type="expression" dxfId="1115" priority="164" stopIfTrue="1">
      <formula>IF(AK8&gt;5,0,1)</formula>
    </cfRule>
  </conditionalFormatting>
  <conditionalFormatting sqref="T104:V104 T19:V19 T189:V189">
    <cfRule type="expression" dxfId="1114" priority="163" stopIfTrue="1">
      <formula>IF(AK8&gt;6,0,1)</formula>
    </cfRule>
  </conditionalFormatting>
  <conditionalFormatting sqref="W104:Y104 W19:Y19 W189:Y189">
    <cfRule type="expression" dxfId="1113" priority="162" stopIfTrue="1">
      <formula>IF(AK8&gt;7,0,1)</formula>
    </cfRule>
  </conditionalFormatting>
  <conditionalFormatting sqref="Z104:AB104 Z19:AB19 Z189:AB189">
    <cfRule type="expression" dxfId="1112" priority="161" stopIfTrue="1">
      <formula>IF(AK8&gt;8,0,1)</formula>
    </cfRule>
  </conditionalFormatting>
  <conditionalFormatting sqref="AC104:AE104 AC19:AE19 AC189:AE189">
    <cfRule type="expression" dxfId="1111" priority="160" stopIfTrue="1">
      <formula>IF(AK8&gt;9,0,1)</formula>
    </cfRule>
  </conditionalFormatting>
  <conditionalFormatting sqref="B20:D20 B105:D105 B190:D190">
    <cfRule type="expression" dxfId="1110" priority="159" stopIfTrue="1">
      <formula>IF(AK8&gt;0,0,1)</formula>
    </cfRule>
  </conditionalFormatting>
  <conditionalFormatting sqref="E20:G20 E105:G105 E190:G190">
    <cfRule type="expression" dxfId="1109" priority="158" stopIfTrue="1">
      <formula>IF(AK8&gt;1,0,1)</formula>
    </cfRule>
  </conditionalFormatting>
  <conditionalFormatting sqref="H20:J20 H105:J105 H190:J190">
    <cfRule type="expression" dxfId="1108" priority="157" stopIfTrue="1">
      <formula>IF(AK8&gt;2,0,1)</formula>
    </cfRule>
  </conditionalFormatting>
  <conditionalFormatting sqref="K20:M20 K105:M105 K190:M190">
    <cfRule type="expression" dxfId="1107" priority="156" stopIfTrue="1">
      <formula>IF(AK8&gt;3,0,1)</formula>
    </cfRule>
  </conditionalFormatting>
  <conditionalFormatting sqref="N20:P20 N105:P105 N190:P190">
    <cfRule type="expression" dxfId="1106" priority="155" stopIfTrue="1">
      <formula>IF(AK8&gt;4,0,1)</formula>
    </cfRule>
  </conditionalFormatting>
  <conditionalFormatting sqref="Q20:S20 Q105:S105 Q190:S190">
    <cfRule type="expression" dxfId="1105" priority="154" stopIfTrue="1">
      <formula>IF(AK8&gt;5,0,1)</formula>
    </cfRule>
  </conditionalFormatting>
  <conditionalFormatting sqref="T20:V20 T105:V105 T190:V190">
    <cfRule type="expression" dxfId="1104" priority="153" stopIfTrue="1">
      <formula>IF(AK8&gt;6,0,1)</formula>
    </cfRule>
  </conditionalFormatting>
  <conditionalFormatting sqref="W20:Y20 W105:Y105 W190:Y190">
    <cfRule type="expression" dxfId="1103" priority="152" stopIfTrue="1">
      <formula>IF(AK8&gt;7,0,1)</formula>
    </cfRule>
  </conditionalFormatting>
  <conditionalFormatting sqref="Z20:AB20 Z105:AB105 Z190:AB190">
    <cfRule type="expression" dxfId="1102" priority="151" stopIfTrue="1">
      <formula>IF(AK8&gt;8,0,1)</formula>
    </cfRule>
  </conditionalFormatting>
  <conditionalFormatting sqref="AC20:AE20 AC105:AE105 AC190:AE190">
    <cfRule type="expression" dxfId="1101" priority="150" stopIfTrue="1">
      <formula>IF(AK8&gt;9,0,1)</formula>
    </cfRule>
  </conditionalFormatting>
  <conditionalFormatting sqref="E22:G22 E107:G107 E192:G192">
    <cfRule type="expression" dxfId="1100" priority="149" stopIfTrue="1">
      <formula>IF(AK8&gt;1,0,1)</formula>
    </cfRule>
  </conditionalFormatting>
  <conditionalFormatting sqref="H22:J22 H107:J107 H192:J192">
    <cfRule type="expression" dxfId="1099" priority="148" stopIfTrue="1">
      <formula>IF(AK8&gt;2,0,1)</formula>
    </cfRule>
  </conditionalFormatting>
  <conditionalFormatting sqref="K22:M22 K107:M107 K192:M192">
    <cfRule type="expression" dxfId="1098" priority="147" stopIfTrue="1">
      <formula>IF(AK8&gt;3,0,1)</formula>
    </cfRule>
  </conditionalFormatting>
  <conditionalFormatting sqref="N22:P22 N107:P107 N192:P192">
    <cfRule type="expression" dxfId="1097" priority="146" stopIfTrue="1">
      <formula>IF(AK8&gt;4,0,1)</formula>
    </cfRule>
  </conditionalFormatting>
  <conditionalFormatting sqref="Q22:S22 Q107:S107 Q192:S192">
    <cfRule type="expression" dxfId="1096" priority="145" stopIfTrue="1">
      <formula>IF(AK8&gt;5,0,1)</formula>
    </cfRule>
  </conditionalFormatting>
  <conditionalFormatting sqref="T22:V22 T107:V107 T192:V192">
    <cfRule type="expression" dxfId="1095" priority="144" stopIfTrue="1">
      <formula>IF(AK8&gt;6,0,1)</formula>
    </cfRule>
  </conditionalFormatting>
  <conditionalFormatting sqref="W22:Y22 W107:Y107 W192:Y192">
    <cfRule type="expression" dxfId="1094" priority="143" stopIfTrue="1">
      <formula>IF(AK8&gt;7,0,1)</formula>
    </cfRule>
  </conditionalFormatting>
  <conditionalFormatting sqref="Z22:AB22 Z107:AB107 Z192:AB192">
    <cfRule type="expression" dxfId="1093" priority="142" stopIfTrue="1">
      <formula>IF(AK8&gt;8,0,1)</formula>
    </cfRule>
  </conditionalFormatting>
  <conditionalFormatting sqref="AC22:AE22 AC107:AE107 AC192:AE192">
    <cfRule type="expression" dxfId="1092" priority="141" stopIfTrue="1">
      <formula>IF(AK8&gt;9,0,1)</formula>
    </cfRule>
  </conditionalFormatting>
  <conditionalFormatting sqref="B24 B109 B194">
    <cfRule type="expression" dxfId="1091" priority="140" stopIfTrue="1">
      <formula>IF(AK8&gt;0,0,1)</formula>
    </cfRule>
  </conditionalFormatting>
  <conditionalFormatting sqref="C24 C109 C194">
    <cfRule type="expression" dxfId="1090" priority="139" stopIfTrue="1">
      <formula>IF(AK8&gt;0,0,1)</formula>
    </cfRule>
  </conditionalFormatting>
  <conditionalFormatting sqref="D24 D109 D194">
    <cfRule type="expression" dxfId="1089" priority="138" stopIfTrue="1">
      <formula>IF(AK8&gt;0,0,1)</formula>
    </cfRule>
  </conditionalFormatting>
  <conditionalFormatting sqref="E23:G23 E108:G108 E193:G193">
    <cfRule type="expression" dxfId="1088" priority="137" stopIfTrue="1">
      <formula>IF(AK8&gt;1,0,1)</formula>
    </cfRule>
  </conditionalFormatting>
  <conditionalFormatting sqref="F24 F109 F194">
    <cfRule type="expression" dxfId="1087" priority="136" stopIfTrue="1">
      <formula>IF(AK8&gt;1,0,1)</formula>
    </cfRule>
  </conditionalFormatting>
  <conditionalFormatting sqref="G24 G109 G194">
    <cfRule type="expression" dxfId="1086" priority="135" stopIfTrue="1">
      <formula>IF(AK8&gt;1,0,1)</formula>
    </cfRule>
  </conditionalFormatting>
  <conditionalFormatting sqref="H23:J23 H108:J108 H193:J193">
    <cfRule type="expression" dxfId="1085" priority="134" stopIfTrue="1">
      <formula>IF(AK8&gt;2,0,1)</formula>
    </cfRule>
  </conditionalFormatting>
  <conditionalFormatting sqref="I24 I109 I194">
    <cfRule type="expression" dxfId="1084" priority="133" stopIfTrue="1">
      <formula>IF(AK8&gt;2,0,1)</formula>
    </cfRule>
  </conditionalFormatting>
  <conditionalFormatting sqref="J24 J109 J194">
    <cfRule type="expression" dxfId="1083" priority="132" stopIfTrue="1">
      <formula>IF(AK8&gt;2,0,1)</formula>
    </cfRule>
  </conditionalFormatting>
  <conditionalFormatting sqref="K23:M23 K108:M108 K193:M193">
    <cfRule type="expression" dxfId="1082" priority="131" stopIfTrue="1">
      <formula>IF(AK8&gt;3,0,1)</formula>
    </cfRule>
  </conditionalFormatting>
  <conditionalFormatting sqref="L24 L109 L194">
    <cfRule type="expression" dxfId="1081" priority="130" stopIfTrue="1">
      <formula>IF(AK8&gt;3,0,1)</formula>
    </cfRule>
  </conditionalFormatting>
  <conditionalFormatting sqref="M24 M109 M194">
    <cfRule type="expression" dxfId="1080" priority="129" stopIfTrue="1">
      <formula>IF(AK8&gt;3,0,1)</formula>
    </cfRule>
  </conditionalFormatting>
  <conditionalFormatting sqref="N23:P23 N108:P108 N193:P193">
    <cfRule type="expression" dxfId="1079" priority="128" stopIfTrue="1">
      <formula>IF(AK8&gt;4,0,1)</formula>
    </cfRule>
  </conditionalFormatting>
  <conditionalFormatting sqref="O24 O109 O194">
    <cfRule type="expression" dxfId="1078" priority="127" stopIfTrue="1">
      <formula>IF(AK8&gt;4,0,1)</formula>
    </cfRule>
  </conditionalFormatting>
  <conditionalFormatting sqref="P24 P109 P194">
    <cfRule type="expression" dxfId="1077" priority="126" stopIfTrue="1">
      <formula>IF(AK8&gt;4,0,1)</formula>
    </cfRule>
  </conditionalFormatting>
  <conditionalFormatting sqref="Q23:S23 Q108:S108 Q193:S193">
    <cfRule type="expression" dxfId="1076" priority="125" stopIfTrue="1">
      <formula>IF(AK8&gt;5,0,1)</formula>
    </cfRule>
  </conditionalFormatting>
  <conditionalFormatting sqref="R24 R109 R194">
    <cfRule type="expression" dxfId="1075" priority="124" stopIfTrue="1">
      <formula>IF(AK8&gt;5,0,1)</formula>
    </cfRule>
  </conditionalFormatting>
  <conditionalFormatting sqref="S24 S109 S194">
    <cfRule type="expression" dxfId="1074" priority="123" stopIfTrue="1">
      <formula>IF(AK8&gt;5,0,1)</formula>
    </cfRule>
  </conditionalFormatting>
  <conditionalFormatting sqref="T23:V23 T108:V108 T193:V193">
    <cfRule type="expression" dxfId="1073" priority="122" stopIfTrue="1">
      <formula>IF(AK8&gt;6,0,1)</formula>
    </cfRule>
  </conditionalFormatting>
  <conditionalFormatting sqref="U24 U109 U194">
    <cfRule type="expression" dxfId="1072" priority="121" stopIfTrue="1">
      <formula>IF(AK8&gt;6,0,1)</formula>
    </cfRule>
  </conditionalFormatting>
  <conditionalFormatting sqref="V24 V109 V194">
    <cfRule type="expression" dxfId="1071" priority="120" stopIfTrue="1">
      <formula>IF(AK8&gt;6,0,1)</formula>
    </cfRule>
  </conditionalFormatting>
  <conditionalFormatting sqref="W23:Y23 W108:Y108 W193:Y193">
    <cfRule type="expression" dxfId="1070" priority="119" stopIfTrue="1">
      <formula>IF(AK8&gt;7,0,1)</formula>
    </cfRule>
  </conditionalFormatting>
  <conditionalFormatting sqref="X24 X109 X194">
    <cfRule type="expression" dxfId="1069" priority="118" stopIfTrue="1">
      <formula>IF(AK8&gt;7,0,1)</formula>
    </cfRule>
  </conditionalFormatting>
  <conditionalFormatting sqref="Y24 Y109 Y194">
    <cfRule type="expression" dxfId="1068" priority="117" stopIfTrue="1">
      <formula>IF(AK8&gt;7,0,1)</formula>
    </cfRule>
  </conditionalFormatting>
  <conditionalFormatting sqref="Z23:AB23 Z108:AB108 Z193:AB193">
    <cfRule type="expression" dxfId="1067" priority="116" stopIfTrue="1">
      <formula>IF(AK8&gt;8,0,1)</formula>
    </cfRule>
  </conditionalFormatting>
  <conditionalFormatting sqref="AA24 AA109 AA194">
    <cfRule type="expression" dxfId="1066" priority="115" stopIfTrue="1">
      <formula>IF(AK8&gt;8,0,1)</formula>
    </cfRule>
  </conditionalFormatting>
  <conditionalFormatting sqref="AB24 AB109 AB194">
    <cfRule type="expression" dxfId="1065" priority="114" stopIfTrue="1">
      <formula>IF(AK8&gt;8,0,1)</formula>
    </cfRule>
  </conditionalFormatting>
  <conditionalFormatting sqref="AC23:AE23 AC108:AE108 AC193:AE193">
    <cfRule type="expression" dxfId="1064" priority="113" stopIfTrue="1">
      <formula>IF(AK8&gt;9,0,1)</formula>
    </cfRule>
  </conditionalFormatting>
  <conditionalFormatting sqref="AD24 AD109 AD194">
    <cfRule type="expression" dxfId="1063" priority="112" stopIfTrue="1">
      <formula>IF(AK8&gt;9,0,1)</formula>
    </cfRule>
  </conditionalFormatting>
  <conditionalFormatting sqref="AE24 AE109 AE194">
    <cfRule type="expression" dxfId="1062" priority="111" stopIfTrue="1">
      <formula>IF(AK8&gt;9,0,1)</formula>
    </cfRule>
  </conditionalFormatting>
  <conditionalFormatting sqref="A111 A26 A196">
    <cfRule type="expression" dxfId="1061" priority="110" stopIfTrue="1">
      <formula>IF(AK7&gt;1,0,1)</formula>
    </cfRule>
  </conditionalFormatting>
  <conditionalFormatting sqref="A112 A27 A197">
    <cfRule type="expression" dxfId="1060" priority="109" stopIfTrue="1">
      <formula>IF(AK7&gt;2,0,1)</formula>
    </cfRule>
  </conditionalFormatting>
  <conditionalFormatting sqref="A113 A28 A198">
    <cfRule type="expression" dxfId="1059" priority="108" stopIfTrue="1">
      <formula>IF(AK7&gt;3,0,1)</formula>
    </cfRule>
  </conditionalFormatting>
  <conditionalFormatting sqref="A114 A29 A199">
    <cfRule type="expression" dxfId="1058" priority="107" stopIfTrue="1">
      <formula>IF(AK7&gt;4,0,1)</formula>
    </cfRule>
  </conditionalFormatting>
  <conditionalFormatting sqref="B110:D110 B25:D25 B195:D195">
    <cfRule type="expression" dxfId="1057" priority="106" stopIfTrue="1">
      <formula>IF($AK8&gt;0,0,1)</formula>
    </cfRule>
  </conditionalFormatting>
  <conditionalFormatting sqref="B111:D111 B26:D26 B196:D196">
    <cfRule type="expression" dxfId="1056" priority="105" stopIfTrue="1">
      <formula>IF($AK8&lt;1,1,IF($AK7&lt;2,1,0))</formula>
    </cfRule>
  </conditionalFormatting>
  <conditionalFormatting sqref="B112:D112 B27:D27 B197:D197">
    <cfRule type="expression" dxfId="1055" priority="104" stopIfTrue="1">
      <formula>IF($AK8&lt;1,1,IF($AK7&lt;3,1,0))</formula>
    </cfRule>
  </conditionalFormatting>
  <conditionalFormatting sqref="B113:D113 B28:D28 B198:D198">
    <cfRule type="expression" dxfId="1054" priority="103" stopIfTrue="1">
      <formula>IF($AK8&lt;1,1,IF($AK7&lt;4,1,0))</formula>
    </cfRule>
  </conditionalFormatting>
  <conditionalFormatting sqref="B114:D114 B29:D29 B199:D199">
    <cfRule type="expression" dxfId="1053" priority="102" stopIfTrue="1">
      <formula>IF($AK8&lt;1,1,IF($AK7&lt;5,1,0))</formula>
    </cfRule>
  </conditionalFormatting>
  <conditionalFormatting sqref="AF111 AF26 AF196">
    <cfRule type="expression" dxfId="1052" priority="101" stopIfTrue="1">
      <formula>IF($AK9&gt;2,0,1)</formula>
    </cfRule>
  </conditionalFormatting>
  <conditionalFormatting sqref="AF110 AF25 AF195">
    <cfRule type="expression" dxfId="1051" priority="100" stopIfTrue="1">
      <formula>IF($AK9&gt;1,0,1)</formula>
    </cfRule>
  </conditionalFormatting>
  <conditionalFormatting sqref="AF109 AF24 AF194">
    <cfRule type="expression" dxfId="1050" priority="99" stopIfTrue="1">
      <formula>IF($AK9&gt;0,0,1)</formula>
    </cfRule>
  </conditionalFormatting>
  <conditionalFormatting sqref="AF112 AF27 AF197">
    <cfRule type="expression" dxfId="1049" priority="98" stopIfTrue="1">
      <formula>IF($AK9&gt;3,0,1)</formula>
    </cfRule>
  </conditionalFormatting>
  <conditionalFormatting sqref="AF113 AF28 AF198">
    <cfRule type="expression" dxfId="1048" priority="97" stopIfTrue="1">
      <formula>IF($AK9&gt;4,0,1)</formula>
    </cfRule>
  </conditionalFormatting>
  <conditionalFormatting sqref="AG108 AG23 AG193">
    <cfRule type="expression" dxfId="1047" priority="96" stopIfTrue="1">
      <formula>IF($AK8&lt;1,1,0)</formula>
    </cfRule>
  </conditionalFormatting>
  <conditionalFormatting sqref="AH108 AH23 AH193">
    <cfRule type="expression" dxfId="1046" priority="95" stopIfTrue="1">
      <formula>IF($AK8&lt;2,1,0)</formula>
    </cfRule>
  </conditionalFormatting>
  <conditionalFormatting sqref="AI108 AI23 AI193">
    <cfRule type="expression" dxfId="1045" priority="94" stopIfTrue="1">
      <formula>IF($AK8&lt;3,1,0)</formula>
    </cfRule>
  </conditionalFormatting>
  <conditionalFormatting sqref="AJ108 AJ23 AJ193">
    <cfRule type="expression" dxfId="1044" priority="93" stopIfTrue="1">
      <formula>IF($AK8&lt;4,1,0)</formula>
    </cfRule>
  </conditionalFormatting>
  <conditionalFormatting sqref="AK108 AK23 AK193">
    <cfRule type="expression" dxfId="1043" priority="92" stopIfTrue="1">
      <formula>IF($AK8&lt;5,1,0)</formula>
    </cfRule>
  </conditionalFormatting>
  <conditionalFormatting sqref="AL108 AL23 AL193">
    <cfRule type="expression" dxfId="1042" priority="91" stopIfTrue="1">
      <formula>IF($AK8&lt;6,1,0)</formula>
    </cfRule>
  </conditionalFormatting>
  <conditionalFormatting sqref="AM108 AM23 AM193">
    <cfRule type="expression" dxfId="1041" priority="90" stopIfTrue="1">
      <formula>IF($AK8&lt;7,1,0)</formula>
    </cfRule>
  </conditionalFormatting>
  <conditionalFormatting sqref="AN108 AN23 AN193">
    <cfRule type="expression" dxfId="1040" priority="89" stopIfTrue="1">
      <formula>IF($AK8&lt;8,1,0)</formula>
    </cfRule>
  </conditionalFormatting>
  <conditionalFormatting sqref="AO108 AO23 AO193">
    <cfRule type="expression" dxfId="1039" priority="88" stopIfTrue="1">
      <formula>IF($AK8&lt;9,1,0)</formula>
    </cfRule>
  </conditionalFormatting>
  <conditionalFormatting sqref="AP108 AP23 AP193">
    <cfRule type="expression" dxfId="1038" priority="87" stopIfTrue="1">
      <formula>IF($AK8&lt;10,1,0)</formula>
    </cfRule>
  </conditionalFormatting>
  <conditionalFormatting sqref="AQ109 AQ24 AQ194">
    <cfRule type="expression" dxfId="1037" priority="86" stopIfTrue="1">
      <formula>IF($AK9&gt;0,0,1)</formula>
    </cfRule>
  </conditionalFormatting>
  <conditionalFormatting sqref="AQ110 AQ25 AQ195">
    <cfRule type="expression" dxfId="1036" priority="85" stopIfTrue="1">
      <formula>IF($AK9&gt;1,0,1)</formula>
    </cfRule>
  </conditionalFormatting>
  <conditionalFormatting sqref="AQ111 H110:J110 AQ26 H25:J25 AQ196 H195:J195">
    <cfRule type="expression" dxfId="1035" priority="84" stopIfTrue="1">
      <formula>IF($AK8&gt;2,0,1)</formula>
    </cfRule>
  </conditionalFormatting>
  <conditionalFormatting sqref="K110:M110 K25:M25 K195:M195">
    <cfRule type="expression" dxfId="1034" priority="83" stopIfTrue="1">
      <formula>IF($AK8&gt;3,0,1)</formula>
    </cfRule>
  </conditionalFormatting>
  <conditionalFormatting sqref="AQ113 AQ28 AQ198">
    <cfRule type="expression" dxfId="1033" priority="82" stopIfTrue="1">
      <formula>IF($AK9&gt;4,0,1)</formula>
    </cfRule>
  </conditionalFormatting>
  <conditionalFormatting sqref="E111:G111 E26:G26 E196:G196">
    <cfRule type="expression" dxfId="1032" priority="81" stopIfTrue="1">
      <formula>IF($AK8&lt;2,1,IF($AK7&lt;2,1,0))</formula>
    </cfRule>
  </conditionalFormatting>
  <conditionalFormatting sqref="E112:G112 E27:G27 E197:G197">
    <cfRule type="expression" dxfId="1031" priority="80" stopIfTrue="1">
      <formula>IF($AK8&lt;2,1,IF($AK7&lt;3,1,0))</formula>
    </cfRule>
  </conditionalFormatting>
  <conditionalFormatting sqref="E113:G113 E28:G28 E198:G198">
    <cfRule type="expression" dxfId="1030" priority="79" stopIfTrue="1">
      <formula>IF($AK8&lt;2,1,IF($AK7&lt;4,1,0))</formula>
    </cfRule>
  </conditionalFormatting>
  <conditionalFormatting sqref="E114:G114 E29:G29 E199:G199">
    <cfRule type="expression" dxfId="1029" priority="78" stopIfTrue="1">
      <formula>IF($AK8&lt;2,1,IF($AK7&lt;5,1,0))</formula>
    </cfRule>
  </conditionalFormatting>
  <conditionalFormatting sqref="N110:P110 N25:P25 N195:P195">
    <cfRule type="expression" dxfId="1028" priority="77" stopIfTrue="1">
      <formula>IF($AK8&gt;4,0,1)</formula>
    </cfRule>
  </conditionalFormatting>
  <conditionalFormatting sqref="Q110:S110 Q25:S25 Q195:S195">
    <cfRule type="expression" dxfId="1027" priority="76" stopIfTrue="1">
      <formula>IF($AK8&gt;5,0,1)</formula>
    </cfRule>
  </conditionalFormatting>
  <conditionalFormatting sqref="T110:V110 T25:V25 T195:V195">
    <cfRule type="expression" dxfId="1026" priority="75" stopIfTrue="1">
      <formula>IF($AK8&gt;6,0,1)</formula>
    </cfRule>
  </conditionalFormatting>
  <conditionalFormatting sqref="W110:Y110 W25:Y25 W195:Y195">
    <cfRule type="expression" dxfId="1025" priority="74" stopIfTrue="1">
      <formula>IF($AK8&gt;7,0,1)</formula>
    </cfRule>
  </conditionalFormatting>
  <conditionalFormatting sqref="Z110:AB110 Z25:AB25 Z195:AB195">
    <cfRule type="expression" dxfId="1024" priority="73" stopIfTrue="1">
      <formula>IF($AK8&gt;8,0,1)</formula>
    </cfRule>
  </conditionalFormatting>
  <conditionalFormatting sqref="AC110:AE110 AC25:AE25 AC195:AE195">
    <cfRule type="expression" dxfId="1023" priority="72" stopIfTrue="1">
      <formula>IF($AK8&gt;9,0,1)</formula>
    </cfRule>
  </conditionalFormatting>
  <conditionalFormatting sqref="H111:J111 H26:J26 H196:J196">
    <cfRule type="expression" dxfId="1022" priority="71" stopIfTrue="1">
      <formula>IF($AK8&lt;3,1,IF($AK7&lt;2,1,0))</formula>
    </cfRule>
  </conditionalFormatting>
  <conditionalFormatting sqref="K111:M111 K26:M26 K196:M196">
    <cfRule type="expression" dxfId="1021" priority="70" stopIfTrue="1">
      <formula>IF($AK8&lt;4,1,IF($AK7&lt;2,1,0))</formula>
    </cfRule>
  </conditionalFormatting>
  <conditionalFormatting sqref="N111:P111 N26:P26 N196:P196">
    <cfRule type="expression" dxfId="1020" priority="69" stopIfTrue="1">
      <formula>IF($AK8&lt;5,1,IF($AK7&lt;2,1,0))</formula>
    </cfRule>
  </conditionalFormatting>
  <conditionalFormatting sqref="Q111:S111 Q26:S26 Q196:S196">
    <cfRule type="expression" dxfId="1019" priority="68" stopIfTrue="1">
      <formula>IF($AK8&lt;6,1,IF($AK7&lt;2,1,0))</formula>
    </cfRule>
  </conditionalFormatting>
  <conditionalFormatting sqref="T111:V111 T26:V26 T196:V196">
    <cfRule type="expression" dxfId="1018" priority="67" stopIfTrue="1">
      <formula>IF($AK8&lt;7,1,IF($AK7&lt;2,1,0))</formula>
    </cfRule>
  </conditionalFormatting>
  <conditionalFormatting sqref="W111:Y111 W26:Y26 W196:Y196">
    <cfRule type="expression" dxfId="1017" priority="66" stopIfTrue="1">
      <formula>IF($AK8&lt;8,1,IF($AK7&lt;2,1,0))</formula>
    </cfRule>
  </conditionalFormatting>
  <conditionalFormatting sqref="Z111:AB111 Z26:AB26 Z196:AB196">
    <cfRule type="expression" dxfId="1016" priority="65" stopIfTrue="1">
      <formula>IF($AK8&lt;9,1,IF($AK7&lt;2,1,0))</formula>
    </cfRule>
  </conditionalFormatting>
  <conditionalFormatting sqref="AC111:AE111 AC26:AE26 AC196:AE196">
    <cfRule type="expression" dxfId="1015" priority="64" stopIfTrue="1">
      <formula>IF($AK8&lt;10,1,IF($AK7&lt;2,1,0))</formula>
    </cfRule>
  </conditionalFormatting>
  <conditionalFormatting sqref="H112:J112 H27:J27 H197:J197">
    <cfRule type="expression" dxfId="1014" priority="63" stopIfTrue="1">
      <formula>IF($AK8&lt;3,1,IF($AK7&lt;3,1,0))</formula>
    </cfRule>
  </conditionalFormatting>
  <conditionalFormatting sqref="K112:M112 K27:M27 K197:M197">
    <cfRule type="expression" dxfId="1013" priority="62" stopIfTrue="1">
      <formula>IF($AK8&lt;4,1,IF($AK7&lt;3,1,0))</formula>
    </cfRule>
  </conditionalFormatting>
  <conditionalFormatting sqref="N112:P112 N27:P27 N197:P197">
    <cfRule type="expression" dxfId="1012" priority="61" stopIfTrue="1">
      <formula>IF($AK8&lt;5,1,IF($AK7&lt;3,1,0))</formula>
    </cfRule>
  </conditionalFormatting>
  <conditionalFormatting sqref="Q112:S112 Q27:S27 Q197:S197">
    <cfRule type="expression" dxfId="1011" priority="60" stopIfTrue="1">
      <formula>IF($AK8&lt;6,1,IF($AK7&lt;3,1,0))</formula>
    </cfRule>
  </conditionalFormatting>
  <conditionalFormatting sqref="T112:V112 T27:V27 T197:V197">
    <cfRule type="expression" dxfId="1010" priority="59" stopIfTrue="1">
      <formula>IF($AK8&lt;7,1,IF($AK7&lt;3,1,0))</formula>
    </cfRule>
  </conditionalFormatting>
  <conditionalFormatting sqref="W112:Y112 W27:Y27 W197:Y197">
    <cfRule type="expression" dxfId="1009" priority="58" stopIfTrue="1">
      <formula>IF($AK8&lt;8,1,IF($AK7&lt;3,1,0))</formula>
    </cfRule>
  </conditionalFormatting>
  <conditionalFormatting sqref="Z112:AB112 Z27:AB27 Z197:AB197">
    <cfRule type="expression" dxfId="1008" priority="57" stopIfTrue="1">
      <formula>IF($AK8&lt;9,1,IF($AK7&lt;3,1,0))</formula>
    </cfRule>
  </conditionalFormatting>
  <conditionalFormatting sqref="AC112:AE112 AC27:AE27 AC197:AE197">
    <cfRule type="expression" dxfId="1007" priority="56" stopIfTrue="1">
      <formula>IF($AK8&lt;10,1,IF($AK7&lt;3,1,0))</formula>
    </cfRule>
  </conditionalFormatting>
  <conditionalFormatting sqref="H113:J113 H28:J28 H198:J198">
    <cfRule type="expression" dxfId="1006" priority="55" stopIfTrue="1">
      <formula>IF($AK8&lt;3,1,IF($AK7&lt;4,1,0))</formula>
    </cfRule>
  </conditionalFormatting>
  <conditionalFormatting sqref="K113:M113 K28:M28 K198:M198">
    <cfRule type="expression" dxfId="1005" priority="54" stopIfTrue="1">
      <formula>IF($AK8&lt;4,1,IF($AK7&lt;4,1,0))</formula>
    </cfRule>
  </conditionalFormatting>
  <conditionalFormatting sqref="N113:P113 N28:P28 N198:P198">
    <cfRule type="expression" dxfId="1004" priority="53" stopIfTrue="1">
      <formula>IF($AK8&lt;5,1,IF($AK7&lt;4,1,0))</formula>
    </cfRule>
  </conditionalFormatting>
  <conditionalFormatting sqref="Q113:S113 Q28:S28 Q198:S198">
    <cfRule type="expression" dxfId="1003" priority="52" stopIfTrue="1">
      <formula>IF($AK8&lt;6,1,IF($AK7&lt;4,1,0))</formula>
    </cfRule>
  </conditionalFormatting>
  <conditionalFormatting sqref="T113:V113 T28:V28 T198:V198">
    <cfRule type="expression" dxfId="1002" priority="51" stopIfTrue="1">
      <formula>IF($AK8&lt;7,1,IF($AK7&lt;4,1,0))</formula>
    </cfRule>
  </conditionalFormatting>
  <conditionalFormatting sqref="W113:Y113 W28:Y28 W198:Y198">
    <cfRule type="expression" dxfId="1001" priority="50" stopIfTrue="1">
      <formula>IF($AK8&lt;8,1,IF($AK7&lt;4,1,0))</formula>
    </cfRule>
  </conditionalFormatting>
  <conditionalFormatting sqref="Z113:AB113 Z28:AB28 Z198:AB198">
    <cfRule type="expression" dxfId="1000" priority="49" stopIfTrue="1">
      <formula>IF($AK8&lt;9,1,IF($AK7&lt;4,1,0))</formula>
    </cfRule>
  </conditionalFormatting>
  <conditionalFormatting sqref="AC113:AE113 AC28:AE28 AC198:AE198">
    <cfRule type="expression" dxfId="999" priority="48" stopIfTrue="1">
      <formula>IF($AK8&lt;10,1,IF($AK7&lt;4,1,0))</formula>
    </cfRule>
  </conditionalFormatting>
  <conditionalFormatting sqref="H114:J114 H29:J29 H199:J199">
    <cfRule type="expression" dxfId="998" priority="47" stopIfTrue="1">
      <formula>IF($AK8&lt;3,1,IF($AK7&lt;5,1,0))</formula>
    </cfRule>
  </conditionalFormatting>
  <conditionalFormatting sqref="K114:M114 K29:M29 K199:M199">
    <cfRule type="expression" dxfId="997" priority="46" stopIfTrue="1">
      <formula>IF($AK8&lt;4,1,IF($AK7&lt;5,1,0))</formula>
    </cfRule>
  </conditionalFormatting>
  <conditionalFormatting sqref="N114:P114 N29:P29 N199:P199">
    <cfRule type="expression" dxfId="996" priority="45" stopIfTrue="1">
      <formula>IF($AK8&lt;5,1,IF($AK7&lt;5,1,0))</formula>
    </cfRule>
  </conditionalFormatting>
  <conditionalFormatting sqref="Q114:S114 Q29:S29 Q199:S199">
    <cfRule type="expression" dxfId="995" priority="44" stopIfTrue="1">
      <formula>IF($AK8&lt;6,1,IF($AK7&lt;5,1,0))</formula>
    </cfRule>
  </conditionalFormatting>
  <conditionalFormatting sqref="T114:V114 T29:V29 T199:V199">
    <cfRule type="expression" dxfId="994" priority="43" stopIfTrue="1">
      <formula>IF($AK8&lt;7,1,IF($AK7&lt;5,1,0))</formula>
    </cfRule>
  </conditionalFormatting>
  <conditionalFormatting sqref="W114:Y114 W29:Y29 W199:Y199">
    <cfRule type="expression" dxfId="993" priority="42" stopIfTrue="1">
      <formula>IF($AK8&lt;8,1,IF($AK7&lt;5,1,0))</formula>
    </cfRule>
  </conditionalFormatting>
  <conditionalFormatting sqref="Z114:AB114 Z29:AB29 Z199:AB199">
    <cfRule type="expression" dxfId="992" priority="41" stopIfTrue="1">
      <formula>IF($AK8&lt;9,1,IF($AK7&lt;5,1,0))</formula>
    </cfRule>
  </conditionalFormatting>
  <conditionalFormatting sqref="AC114:AE114 AC29:AE29 AC199:AE199">
    <cfRule type="expression" dxfId="991" priority="40" stopIfTrue="1">
      <formula>IF($AK8&lt;10,1,IF($AK7&lt;5,1,0))</formula>
    </cfRule>
  </conditionalFormatting>
  <conditionalFormatting sqref="R99:AB100 AF99:AF100 L99:P100 R14:AB15 AF14:AF15 L14:P15 R184:AB185 AF184:AF185 L184:P185 AG14 AG99 AG184">
    <cfRule type="expression" dxfId="990" priority="39" stopIfTrue="1">
      <formula>IF($AK9&gt;3,0,1)</formula>
    </cfRule>
  </conditionalFormatting>
  <conditionalFormatting sqref="R101:AB102 AF101:AF102 L101:P102 R16:AB17 AF16:AF17 L16:P17 R186:AB187 AF186:AF187 L186:P187 AG16 AG101 AG186">
    <cfRule type="expression" dxfId="989" priority="38" stopIfTrue="1">
      <formula>IF($AK9&gt;4,0,1)</formula>
    </cfRule>
  </conditionalFormatting>
  <conditionalFormatting sqref="R93:AB94 AF93:AF94 L93:P94 R8:AB9 AF8:AF9 L8:P9 R178:AB179 AF178:AF179 L178:P179 AG8 AG93 AG178">
    <cfRule type="expression" dxfId="988" priority="37" stopIfTrue="1">
      <formula>IF($AK9&gt;0,0,1)</formula>
    </cfRule>
  </conditionalFormatting>
  <conditionalFormatting sqref="R95:AB96 AF95:AF96 L95:P96 R10:AB11 AF10:AF11 L10:P11 R180:AB181 AF180:AF181 L180:P181 AG10 AG95 AG180">
    <cfRule type="expression" dxfId="987" priority="36" stopIfTrue="1">
      <formula>IF($AK9&gt;1,0,1)</formula>
    </cfRule>
  </conditionalFormatting>
  <conditionalFormatting sqref="R97:AB98 AF97:AF98 L97:P98 R12:AB13 AF12:AF13 L12:P13 R182:AB183 AF182:AF183 L182:P183 AG12 AG97 AG182">
    <cfRule type="expression" dxfId="986" priority="35" stopIfTrue="1">
      <formula>IF($AK9&gt;2,0,1)</formula>
    </cfRule>
  </conditionalFormatting>
  <conditionalFormatting sqref="E24 E109 E194">
    <cfRule type="expression" dxfId="985" priority="34" stopIfTrue="1">
      <formula>IF(AK8&gt;1,0,1)</formula>
    </cfRule>
  </conditionalFormatting>
  <conditionalFormatting sqref="H24 H109 H194">
    <cfRule type="expression" dxfId="984" priority="33" stopIfTrue="1">
      <formula>IF(AK8&gt;2,0,1)</formula>
    </cfRule>
  </conditionalFormatting>
  <conditionalFormatting sqref="K24 K109 K194">
    <cfRule type="expression" dxfId="983" priority="32" stopIfTrue="1">
      <formula>IF(AK8&gt;3,0,1)</formula>
    </cfRule>
  </conditionalFormatting>
  <conditionalFormatting sqref="N24 N109 N194">
    <cfRule type="expression" dxfId="982" priority="31" stopIfTrue="1">
      <formula>IF(AK8&gt;4,0,1)</formula>
    </cfRule>
  </conditionalFormatting>
  <conditionalFormatting sqref="Q24 Q109 Q194">
    <cfRule type="expression" dxfId="981" priority="30" stopIfTrue="1">
      <formula>IF(AK8&gt;5,0,1)</formula>
    </cfRule>
  </conditionalFormatting>
  <conditionalFormatting sqref="T24 T109 T194">
    <cfRule type="expression" dxfId="980" priority="29" stopIfTrue="1">
      <formula>IF(AK8&gt;6,0,1)</formula>
    </cfRule>
  </conditionalFormatting>
  <conditionalFormatting sqref="W24 W109 W194">
    <cfRule type="expression" dxfId="979" priority="28" stopIfTrue="1">
      <formula>IF(AK8&gt;7,0,1)</formula>
    </cfRule>
  </conditionalFormatting>
  <conditionalFormatting sqref="Z24 Z109 Z194">
    <cfRule type="expression" dxfId="978" priority="27" stopIfTrue="1">
      <formula>IF(AK8&gt;8,0,1)</formula>
    </cfRule>
  </conditionalFormatting>
  <conditionalFormatting sqref="AC24 AC109 AC194">
    <cfRule type="expression" dxfId="977" priority="26" stopIfTrue="1">
      <formula>IF(AK8&gt;9,0,1)</formula>
    </cfRule>
  </conditionalFormatting>
  <conditionalFormatting sqref="AQ112 AQ27 AQ197">
    <cfRule type="expression" dxfId="976" priority="25" stopIfTrue="1">
      <formula>IF($AK9&gt;3,0,1)</formula>
    </cfRule>
  </conditionalFormatting>
  <conditionalFormatting sqref="E110:G110 E25:G25 E195:G195">
    <cfRule type="expression" dxfId="975" priority="24" stopIfTrue="1">
      <formula>IF($AK8&gt;1,0,1)</formula>
    </cfRule>
  </conditionalFormatting>
  <conditionalFormatting sqref="B106:D106 B21:D21 B191:D191">
    <cfRule type="expression" dxfId="974" priority="23" stopIfTrue="1">
      <formula>IF(AK8&gt;0,0,1)</formula>
    </cfRule>
  </conditionalFormatting>
  <conditionalFormatting sqref="E106:G106 E21:G21 E191:G191">
    <cfRule type="expression" dxfId="973" priority="22" stopIfTrue="1">
      <formula>IF(AK8&gt;1,0,1)</formula>
    </cfRule>
  </conditionalFormatting>
  <conditionalFormatting sqref="H106:J106 H21:J21 H191:J191">
    <cfRule type="expression" dxfId="972" priority="21" stopIfTrue="1">
      <formula>IF(AK8&gt;2,0,1)</formula>
    </cfRule>
  </conditionalFormatting>
  <conditionalFormatting sqref="K106:M106 K21:M21 K191:M191">
    <cfRule type="expression" dxfId="971" priority="20" stopIfTrue="1">
      <formula>IF(AK8&gt;3,0,1)</formula>
    </cfRule>
  </conditionalFormatting>
  <conditionalFormatting sqref="N106:P106 N21:P21 N191:P191">
    <cfRule type="expression" dxfId="970" priority="19" stopIfTrue="1">
      <formula>IF(AK8&gt;4,0,1)</formula>
    </cfRule>
  </conditionalFormatting>
  <conditionalFormatting sqref="Q106:S106 Q21:S21 Q191:S191">
    <cfRule type="expression" dxfId="969" priority="18" stopIfTrue="1">
      <formula>IF(AK8&gt;5,0,1)</formula>
    </cfRule>
  </conditionalFormatting>
  <conditionalFormatting sqref="T106:V106 T21:V21 T191:V191">
    <cfRule type="expression" dxfId="968" priority="17" stopIfTrue="1">
      <formula>IF(AK8&gt;6,0,1)</formula>
    </cfRule>
  </conditionalFormatting>
  <conditionalFormatting sqref="W106:Y106 W21:Y21 W191:Y191">
    <cfRule type="expression" dxfId="967" priority="16" stopIfTrue="1">
      <formula>IF(AK8&gt;7,0,1)</formula>
    </cfRule>
  </conditionalFormatting>
  <conditionalFormatting sqref="Z106:AB106 Z21:AB21 Z191:AB191">
    <cfRule type="expression" dxfId="966" priority="15" stopIfTrue="1">
      <formula>IF(AK8&gt;8,0,1)</formula>
    </cfRule>
  </conditionalFormatting>
  <conditionalFormatting sqref="AC106:AE106 AC21:AE21 AC191:AE191">
    <cfRule type="expression" dxfId="965" priority="14" stopIfTrue="1">
      <formula>IF(AK8&gt;9,0,1)</formula>
    </cfRule>
  </conditionalFormatting>
  <conditionalFormatting sqref="AG24:AP28 AG109:AP113 AG194:AP198">
    <cfRule type="cellIs" dxfId="964" priority="13" stopIfTrue="1" operator="notBetween">
      <formula>-9999</formula>
      <formula>9999</formula>
    </cfRule>
  </conditionalFormatting>
  <conditionalFormatting sqref="AC92 AC7 AC177">
    <cfRule type="expression" dxfId="963" priority="12" stopIfTrue="1">
      <formula>IF($AK$11=0,1,0)</formula>
    </cfRule>
  </conditionalFormatting>
  <conditionalFormatting sqref="B22:D23 B107:D108 B192:D193">
    <cfRule type="cellIs" dxfId="962" priority="11" stopIfTrue="1" operator="equal">
      <formula>99</formula>
    </cfRule>
  </conditionalFormatting>
  <conditionalFormatting sqref="B18 B103 B188">
    <cfRule type="expression" dxfId="961" priority="10" stopIfTrue="1">
      <formula>IF($AK$9&gt;0,0,1)</formula>
    </cfRule>
  </conditionalFormatting>
  <conditionalFormatting sqref="B18">
    <cfRule type="expression" dxfId="960" priority="9" stopIfTrue="1">
      <formula>IF($AK$9&gt;0,0,1)</formula>
    </cfRule>
  </conditionalFormatting>
  <conditionalFormatting sqref="B103">
    <cfRule type="expression" dxfId="959" priority="8" stopIfTrue="1">
      <formula>IF($AK$9&gt;0,0,1)</formula>
    </cfRule>
  </conditionalFormatting>
  <conditionalFormatting sqref="B188">
    <cfRule type="expression" dxfId="958" priority="7" stopIfTrue="1">
      <formula>IF($AK$9&gt;0,0,1)</formula>
    </cfRule>
  </conditionalFormatting>
  <conditionalFormatting sqref="B104:D104">
    <cfRule type="expression" dxfId="957" priority="6" stopIfTrue="1">
      <formula>IF(AK93&gt;0,0,1)</formula>
    </cfRule>
  </conditionalFormatting>
  <conditionalFormatting sqref="E104:G104">
    <cfRule type="expression" dxfId="956" priority="5" stopIfTrue="1">
      <formula>IF(AK93&gt;1,0,1)</formula>
    </cfRule>
  </conditionalFormatting>
  <conditionalFormatting sqref="H104:J104">
    <cfRule type="expression" dxfId="955" priority="4" stopIfTrue="1">
      <formula>IF(AK93&gt;2,0,1)</formula>
    </cfRule>
  </conditionalFormatting>
  <conditionalFormatting sqref="B189:D189">
    <cfRule type="expression" dxfId="954" priority="3" stopIfTrue="1">
      <formula>IF(AK178&gt;0,0,1)</formula>
    </cfRule>
  </conditionalFormatting>
  <conditionalFormatting sqref="E189:G189">
    <cfRule type="expression" dxfId="953" priority="2" stopIfTrue="1">
      <formula>IF(AK178&gt;1,0,1)</formula>
    </cfRule>
  </conditionalFormatting>
  <conditionalFormatting sqref="H189:J189">
    <cfRule type="expression" dxfId="952" priority="1" stopIfTrue="1">
      <formula>IF(AK178&gt;2,0,1)</formula>
    </cfRule>
  </conditionalFormatting>
  <pageMargins left="0.25" right="0.25" top="0.25" bottom="0.25" header="0" footer="0"/>
  <pageSetup scale="78" fitToHeight="6" orientation="landscape" r:id="rId1"/>
  <headerFooter alignWithMargins="0"/>
  <rowBreaks count="2" manualBreakCount="2">
    <brk id="90" max="43" man="1"/>
    <brk id="175" max="43" man="1"/>
  </rowBreaks>
  <drawing r:id="rId2"/>
  <legacyDrawing r:id="rId3"/>
  <controls>
    <mc:AlternateContent xmlns:mc="http://schemas.openxmlformats.org/markup-compatibility/2006">
      <mc:Choice Requires="x14">
        <control shapeId="18433" r:id="rId4" name="Pool1RecalcFinish">
          <controlPr defaultSize="0" autoLine="0" autoPict="0" r:id="rId5">
            <anchor moveWithCells="1" sizeWithCells="1">
              <from>
                <xdr:col>36</xdr:col>
                <xdr:colOff>104775</xdr:colOff>
                <xdr:row>13</xdr:row>
                <xdr:rowOff>0</xdr:rowOff>
              </from>
              <to>
                <xdr:col>41</xdr:col>
                <xdr:colOff>228600</xdr:colOff>
                <xdr:row>13</xdr:row>
                <xdr:rowOff>0</xdr:rowOff>
              </to>
            </anchor>
          </controlPr>
        </control>
      </mc:Choice>
      <mc:Fallback>
        <control shapeId="18433" r:id="rId4" name="Pool1RecalcFinish"/>
      </mc:Fallback>
    </mc:AlternateContent>
    <mc:AlternateContent xmlns:mc="http://schemas.openxmlformats.org/markup-compatibility/2006">
      <mc:Choice Requires="x14">
        <control shapeId="18434" r:id="rId6" name="Pool2RecalcFinish">
          <controlPr defaultSize="0" autoLine="0" autoPict="0" r:id="rId7">
            <anchor moveWithCells="1" sizeWithCells="1">
              <from>
                <xdr:col>36</xdr:col>
                <xdr:colOff>104775</xdr:colOff>
                <xdr:row>98</xdr:row>
                <xdr:rowOff>0</xdr:rowOff>
              </from>
              <to>
                <xdr:col>41</xdr:col>
                <xdr:colOff>228600</xdr:colOff>
                <xdr:row>98</xdr:row>
                <xdr:rowOff>0</xdr:rowOff>
              </to>
            </anchor>
          </controlPr>
        </control>
      </mc:Choice>
      <mc:Fallback>
        <control shapeId="18434" r:id="rId6" name="Pool2RecalcFinish"/>
      </mc:Fallback>
    </mc:AlternateContent>
    <mc:AlternateContent xmlns:mc="http://schemas.openxmlformats.org/markup-compatibility/2006">
      <mc:Choice Requires="x14">
        <control shapeId="18435" r:id="rId8" name="Pool3RecalcFinish">
          <controlPr defaultSize="0" autoLine="0" autoPict="0" r:id="rId9">
            <anchor moveWithCells="1" sizeWithCells="1">
              <from>
                <xdr:col>36</xdr:col>
                <xdr:colOff>104775</xdr:colOff>
                <xdr:row>183</xdr:row>
                <xdr:rowOff>0</xdr:rowOff>
              </from>
              <to>
                <xdr:col>41</xdr:col>
                <xdr:colOff>228600</xdr:colOff>
                <xdr:row>183</xdr:row>
                <xdr:rowOff>0</xdr:rowOff>
              </to>
            </anchor>
          </controlPr>
        </control>
      </mc:Choice>
      <mc:Fallback>
        <control shapeId="18435" r:id="rId8" name="Pool3RecalcFinish"/>
      </mc:Fallback>
    </mc:AlternateContent>
  </control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8">
    <tabColor rgb="FF7030A0"/>
  </sheetPr>
  <dimension ref="A1:BB519"/>
  <sheetViews>
    <sheetView topLeftCell="AO1" zoomScaleNormal="100" workbookViewId="0">
      <selection activeCell="AW3" sqref="AW3:AW11"/>
    </sheetView>
  </sheetViews>
  <sheetFormatPr defaultColWidth="8.7109375" defaultRowHeight="12.75"/>
  <cols>
    <col min="1" max="1" width="8.7109375" style="3"/>
    <col min="2" max="2" width="3.7109375" style="3" customWidth="1"/>
    <col min="3" max="3" width="2.28515625" style="3" customWidth="1"/>
    <col min="4" max="5" width="3.7109375" style="3" customWidth="1"/>
    <col min="6" max="6" width="2.28515625" style="3" customWidth="1"/>
    <col min="7" max="8" width="3.7109375" style="3" customWidth="1"/>
    <col min="9" max="9" width="2.28515625" style="3" customWidth="1"/>
    <col min="10" max="11" width="3.7109375" style="3" customWidth="1"/>
    <col min="12" max="12" width="2.28515625" style="3" customWidth="1"/>
    <col min="13" max="14" width="3.7109375" style="3" customWidth="1"/>
    <col min="15" max="15" width="2.28515625" style="3" customWidth="1"/>
    <col min="16" max="17" width="3.7109375" style="3" customWidth="1"/>
    <col min="18" max="18" width="2.28515625" style="3" customWidth="1"/>
    <col min="19" max="20" width="3.7109375" style="3" customWidth="1"/>
    <col min="21" max="21" width="2.28515625" style="3" customWidth="1"/>
    <col min="22" max="23" width="3.7109375" style="3" customWidth="1"/>
    <col min="24" max="24" width="2.28515625" style="3" customWidth="1"/>
    <col min="25" max="26" width="3.7109375" style="3" customWidth="1"/>
    <col min="27" max="27" width="2.28515625" style="3" customWidth="1"/>
    <col min="28" max="29" width="3.7109375" style="3" customWidth="1"/>
    <col min="30" max="30" width="2.28515625" style="3" customWidth="1"/>
    <col min="31" max="31" width="3.7109375" style="3" customWidth="1"/>
    <col min="32" max="32" width="9.7109375" style="3" customWidth="1"/>
    <col min="33" max="42" width="3.7109375" style="3" customWidth="1"/>
    <col min="43" max="43" width="11" style="3" customWidth="1"/>
    <col min="44" max="45" width="8.7109375" style="3"/>
    <col min="46" max="46" width="8.7109375" style="508"/>
    <col min="47" max="47" width="21" style="508" customWidth="1"/>
    <col min="48" max="48" width="24.42578125" style="508" customWidth="1"/>
    <col min="49" max="49" width="15.140625" style="512" customWidth="1"/>
    <col min="50" max="50" width="10.5703125" style="508" customWidth="1"/>
    <col min="51" max="51" width="11.140625" style="508" customWidth="1"/>
    <col min="52" max="52" width="25" style="3" customWidth="1"/>
    <col min="53" max="53" width="6" style="3" customWidth="1"/>
    <col min="54" max="16384" width="8.7109375" style="3"/>
  </cols>
  <sheetData>
    <row r="1" spans="1:53" ht="13.5" thickBot="1">
      <c r="A1" s="264" t="s">
        <v>0</v>
      </c>
      <c r="B1" s="264"/>
      <c r="C1" s="264"/>
      <c r="D1" s="264"/>
      <c r="E1" s="264"/>
      <c r="F1" s="264"/>
      <c r="G1" s="264"/>
      <c r="H1" s="264"/>
      <c r="I1" s="264"/>
      <c r="J1" s="264"/>
      <c r="K1" s="264"/>
      <c r="L1" s="264"/>
      <c r="M1" s="264"/>
      <c r="N1" s="264"/>
      <c r="O1" s="264"/>
      <c r="P1" s="264"/>
      <c r="Q1" s="264"/>
      <c r="R1" s="264"/>
      <c r="S1" s="264"/>
      <c r="T1" s="264"/>
      <c r="U1" s="264"/>
      <c r="V1" s="264"/>
      <c r="W1" s="264"/>
      <c r="X1" s="264"/>
      <c r="Y1" s="264"/>
      <c r="Z1" s="264"/>
      <c r="AA1" s="264"/>
      <c r="AB1" s="264"/>
      <c r="AC1" s="264"/>
      <c r="AD1" s="264"/>
      <c r="AE1" s="264"/>
      <c r="AF1" s="92"/>
      <c r="AG1" s="92"/>
      <c r="AH1" s="92"/>
      <c r="AI1" s="92"/>
      <c r="AJ1" s="92"/>
      <c r="AK1" s="92"/>
      <c r="AL1" s="92"/>
      <c r="AM1" s="92"/>
      <c r="AN1" s="92"/>
      <c r="AO1" s="92"/>
      <c r="AP1" s="92"/>
      <c r="AQ1" s="130" t="s">
        <v>179</v>
      </c>
      <c r="AR1" s="46"/>
      <c r="AT1" s="476" t="s">
        <v>1</v>
      </c>
      <c r="AU1" s="477"/>
      <c r="AV1" s="477"/>
      <c r="AW1" s="478"/>
      <c r="AX1" s="479" t="s">
        <v>180</v>
      </c>
      <c r="AY1" s="480"/>
      <c r="AZ1" s="131" t="s">
        <v>181</v>
      </c>
      <c r="BA1" s="132">
        <v>32</v>
      </c>
    </row>
    <row r="2" spans="1:53" ht="18.75" customHeight="1" thickBot="1">
      <c r="A2" s="93"/>
      <c r="B2" s="133" t="s">
        <v>2</v>
      </c>
      <c r="C2" s="134"/>
      <c r="D2" s="134"/>
      <c r="E2" s="135"/>
      <c r="F2" s="135"/>
      <c r="G2" s="136"/>
      <c r="H2" s="135"/>
      <c r="I2" s="137"/>
      <c r="J2" s="249" t="s">
        <v>182</v>
      </c>
      <c r="K2" s="250"/>
      <c r="L2" s="250"/>
      <c r="M2" s="250"/>
      <c r="N2" s="250"/>
      <c r="O2" s="250"/>
      <c r="P2" s="250"/>
      <c r="Q2" s="250"/>
      <c r="R2" s="250"/>
      <c r="S2" s="250"/>
      <c r="T2" s="251"/>
      <c r="U2" s="252" t="s">
        <v>3</v>
      </c>
      <c r="V2" s="253"/>
      <c r="W2" s="254"/>
      <c r="X2" s="255">
        <v>42378</v>
      </c>
      <c r="Y2" s="256"/>
      <c r="Z2" s="256"/>
      <c r="AA2" s="256"/>
      <c r="AB2" s="256"/>
      <c r="AC2" s="256"/>
      <c r="AD2" s="256"/>
      <c r="AE2" s="257"/>
      <c r="AF2" s="1"/>
      <c r="AG2" s="1"/>
      <c r="AH2" s="1"/>
      <c r="AI2" s="1"/>
      <c r="AJ2" s="1"/>
      <c r="AK2" s="1"/>
      <c r="AL2" s="1"/>
      <c r="AM2" s="1"/>
      <c r="AN2" s="1"/>
      <c r="AO2" s="1"/>
      <c r="AP2" s="1"/>
      <c r="AQ2" s="1"/>
      <c r="AR2" s="46"/>
      <c r="AT2" s="481" t="s">
        <v>4</v>
      </c>
      <c r="AU2" s="482" t="s">
        <v>5</v>
      </c>
      <c r="AV2" s="483" t="s">
        <v>6</v>
      </c>
      <c r="AW2" s="484" t="s">
        <v>183</v>
      </c>
      <c r="AX2" s="485" t="s">
        <v>184</v>
      </c>
      <c r="AY2" s="484" t="s">
        <v>7</v>
      </c>
      <c r="AZ2" s="131" t="s">
        <v>185</v>
      </c>
      <c r="BA2" s="132">
        <v>16</v>
      </c>
    </row>
    <row r="3" spans="1:53" ht="18.75" customHeight="1" thickBot="1">
      <c r="A3" s="93"/>
      <c r="B3" s="265" t="s">
        <v>8</v>
      </c>
      <c r="C3" s="266"/>
      <c r="D3" s="267" t="s">
        <v>287</v>
      </c>
      <c r="E3" s="268"/>
      <c r="F3" s="268"/>
      <c r="G3" s="268"/>
      <c r="H3" s="268"/>
      <c r="I3" s="268"/>
      <c r="J3" s="268"/>
      <c r="K3" s="269"/>
      <c r="L3" s="270" t="s">
        <v>9</v>
      </c>
      <c r="M3" s="271"/>
      <c r="N3" s="272"/>
      <c r="O3" s="273"/>
      <c r="P3" s="249" t="s">
        <v>186</v>
      </c>
      <c r="Q3" s="250"/>
      <c r="R3" s="250"/>
      <c r="S3" s="250"/>
      <c r="T3" s="251"/>
      <c r="U3" s="260" t="s">
        <v>10</v>
      </c>
      <c r="V3" s="261"/>
      <c r="W3" s="261"/>
      <c r="X3" s="261"/>
      <c r="Y3" s="261"/>
      <c r="Z3" s="262"/>
      <c r="AA3" s="95"/>
      <c r="AB3" s="263" t="s">
        <v>11</v>
      </c>
      <c r="AC3" s="263"/>
      <c r="AD3" s="258" t="s">
        <v>12</v>
      </c>
      <c r="AE3" s="259"/>
      <c r="AF3" s="1"/>
      <c r="AG3" s="1"/>
      <c r="AH3" s="1"/>
      <c r="AI3" s="1"/>
      <c r="AJ3" s="1"/>
      <c r="AK3" s="1"/>
      <c r="AL3" s="1"/>
      <c r="AM3" s="1"/>
      <c r="AN3" s="1"/>
      <c r="AO3" s="1"/>
      <c r="AP3" s="1"/>
      <c r="AQ3" s="1"/>
      <c r="AR3" s="46"/>
      <c r="AT3" s="486">
        <v>1</v>
      </c>
      <c r="AU3" s="487" t="s">
        <v>115</v>
      </c>
      <c r="AV3" s="487" t="s">
        <v>116</v>
      </c>
      <c r="AW3" s="488">
        <f>VLOOKUP(AV3,Initial!G:K,5,FALSE)</f>
        <v>1200</v>
      </c>
      <c r="AX3" s="489">
        <f t="shared" ref="AX3:AX14" si="0">VLOOKUP(AU3,AT$79:AU$259,2,FALSE)</f>
        <v>1185.7779264437215</v>
      </c>
      <c r="AY3" s="490">
        <f>AX3</f>
        <v>1185.7779264437215</v>
      </c>
    </row>
    <row r="4" spans="1:53" ht="24" customHeight="1" thickBot="1">
      <c r="A4" s="93"/>
      <c r="B4" s="144"/>
      <c r="C4" s="144"/>
      <c r="D4" s="145"/>
      <c r="E4" s="146"/>
      <c r="F4" s="147"/>
      <c r="G4" s="147"/>
      <c r="H4" s="282" t="s">
        <v>13</v>
      </c>
      <c r="I4" s="283"/>
      <c r="J4" s="284"/>
      <c r="K4" s="284"/>
      <c r="L4" s="284"/>
      <c r="M4" s="285"/>
      <c r="N4" s="286" t="s">
        <v>289</v>
      </c>
      <c r="O4" s="286"/>
      <c r="P4" s="286"/>
      <c r="Q4" s="286"/>
      <c r="R4" s="286"/>
      <c r="S4" s="286"/>
      <c r="T4" s="287"/>
      <c r="U4" s="288" t="s">
        <v>14</v>
      </c>
      <c r="V4" s="289"/>
      <c r="W4" s="289"/>
      <c r="X4" s="289"/>
      <c r="Y4" s="290"/>
      <c r="Z4" s="291" t="s">
        <v>290</v>
      </c>
      <c r="AA4" s="286"/>
      <c r="AB4" s="286"/>
      <c r="AC4" s="286"/>
      <c r="AD4" s="286"/>
      <c r="AE4" s="287"/>
      <c r="AF4" s="1"/>
      <c r="AG4" s="1"/>
      <c r="AH4" s="1"/>
      <c r="AI4" s="1"/>
      <c r="AJ4" s="1"/>
      <c r="AK4" s="1"/>
      <c r="AL4" s="1"/>
      <c r="AM4" s="1"/>
      <c r="AN4" s="1"/>
      <c r="AO4" s="1"/>
      <c r="AP4" s="1"/>
      <c r="AQ4" s="1"/>
      <c r="AR4" s="46"/>
      <c r="AT4" s="491">
        <v>2</v>
      </c>
      <c r="AU4" s="487" t="s">
        <v>152</v>
      </c>
      <c r="AV4" s="487" t="s">
        <v>153</v>
      </c>
      <c r="AW4" s="488">
        <f>VLOOKUP(AV4,Initial!G:K,5,FALSE)</f>
        <v>1500</v>
      </c>
      <c r="AX4" s="493">
        <f t="shared" si="0"/>
        <v>1530.4660296046136</v>
      </c>
      <c r="AY4" s="490">
        <f t="shared" ref="AY4:AY13" si="1">AX4</f>
        <v>1530.4660296046136</v>
      </c>
    </row>
    <row r="5" spans="1:53" ht="15.75" thickBot="1">
      <c r="A5" s="92" t="s">
        <v>15</v>
      </c>
      <c r="B5" s="292" t="s">
        <v>15</v>
      </c>
      <c r="C5" s="293"/>
      <c r="D5" s="293"/>
      <c r="E5" s="293"/>
      <c r="F5" s="293"/>
      <c r="G5" s="293"/>
      <c r="H5" s="293"/>
      <c r="I5" s="293"/>
      <c r="J5" s="293"/>
      <c r="K5" s="294" t="s">
        <v>15</v>
      </c>
      <c r="L5" s="294"/>
      <c r="M5" s="294"/>
      <c r="N5" s="294"/>
      <c r="O5" s="294"/>
      <c r="P5" s="294"/>
      <c r="Q5" s="294"/>
      <c r="R5" s="294"/>
      <c r="S5" s="294"/>
      <c r="T5" s="294"/>
      <c r="U5" s="294"/>
      <c r="V5" s="294"/>
      <c r="W5" s="294"/>
      <c r="X5" s="294"/>
      <c r="Y5" s="294"/>
      <c r="Z5" s="294"/>
      <c r="AA5" s="294"/>
      <c r="AB5" s="294"/>
      <c r="AC5" s="294"/>
      <c r="AD5" s="294"/>
      <c r="AE5" s="294"/>
      <c r="AF5" s="92"/>
      <c r="AG5" s="92"/>
      <c r="AH5" s="92"/>
      <c r="AI5" s="92"/>
      <c r="AJ5" s="92"/>
      <c r="AK5" s="92"/>
      <c r="AL5" s="92"/>
      <c r="AM5" s="92"/>
      <c r="AN5" s="92"/>
      <c r="AO5" s="92"/>
      <c r="AP5" s="92"/>
      <c r="AQ5" s="92"/>
      <c r="AR5" s="46"/>
      <c r="AT5" s="491">
        <v>3</v>
      </c>
      <c r="AU5" s="487" t="s">
        <v>158</v>
      </c>
      <c r="AV5" s="487" t="s">
        <v>159</v>
      </c>
      <c r="AW5" s="488">
        <f>VLOOKUP(AV5,Initial!G:K,5,FALSE)</f>
        <v>1400</v>
      </c>
      <c r="AX5" s="493">
        <f t="shared" si="0"/>
        <v>1429.6517072742154</v>
      </c>
      <c r="AY5" s="490">
        <f t="shared" si="1"/>
        <v>1429.6517072742154</v>
      </c>
    </row>
    <row r="6" spans="1:53" ht="24" customHeight="1" thickBot="1">
      <c r="A6" s="96" t="s">
        <v>16</v>
      </c>
      <c r="B6" s="150" t="s">
        <v>187</v>
      </c>
      <c r="C6" s="274" t="s">
        <v>188</v>
      </c>
      <c r="D6" s="275"/>
      <c r="E6" s="275"/>
      <c r="F6" s="275"/>
      <c r="G6" s="275"/>
      <c r="H6" s="276"/>
      <c r="I6" s="277">
        <v>1</v>
      </c>
      <c r="J6" s="278"/>
      <c r="K6" s="279" t="str">
        <f>"Pool "&amp;B6&amp;" - Round 1 - Court "&amp;I6</f>
        <v>Pool A1 - Round 1 - Court 1</v>
      </c>
      <c r="L6" s="280"/>
      <c r="M6" s="280"/>
      <c r="N6" s="280"/>
      <c r="O6" s="280"/>
      <c r="P6" s="280"/>
      <c r="Q6" s="280"/>
      <c r="R6" s="280"/>
      <c r="S6" s="280"/>
      <c r="T6" s="280"/>
      <c r="U6" s="280"/>
      <c r="V6" s="280"/>
      <c r="W6" s="280"/>
      <c r="X6" s="280"/>
      <c r="Y6" s="280"/>
      <c r="Z6" s="280"/>
      <c r="AA6" s="280"/>
      <c r="AB6" s="280"/>
      <c r="AC6" s="280"/>
      <c r="AD6" s="280"/>
      <c r="AE6" s="280"/>
      <c r="AF6" s="280"/>
      <c r="AG6" s="280"/>
      <c r="AH6" s="280"/>
      <c r="AI6" s="281"/>
      <c r="AJ6" s="1"/>
      <c r="AK6" s="1"/>
      <c r="AL6" s="1"/>
      <c r="AM6" s="1"/>
      <c r="AN6" s="1"/>
      <c r="AO6" s="1"/>
      <c r="AP6" s="1"/>
      <c r="AQ6" s="1"/>
      <c r="AT6" s="491">
        <v>4</v>
      </c>
      <c r="AU6" s="487" t="s">
        <v>121</v>
      </c>
      <c r="AV6" s="487" t="s">
        <v>122</v>
      </c>
      <c r="AW6" s="488">
        <f>VLOOKUP(AV6,Initial!G:K,5,FALSE)</f>
        <v>1200</v>
      </c>
      <c r="AX6" s="493">
        <f t="shared" si="0"/>
        <v>1186.0390794838293</v>
      </c>
      <c r="AY6" s="490">
        <f t="shared" si="1"/>
        <v>1186.0390794838293</v>
      </c>
    </row>
    <row r="7" spans="1:53" ht="27" customHeight="1" thickBot="1">
      <c r="A7" s="97" t="s">
        <v>17</v>
      </c>
      <c r="B7" s="282" t="s">
        <v>5</v>
      </c>
      <c r="C7" s="295"/>
      <c r="D7" s="295"/>
      <c r="E7" s="295"/>
      <c r="F7" s="295"/>
      <c r="G7" s="295"/>
      <c r="H7" s="295"/>
      <c r="I7" s="295"/>
      <c r="J7" s="295"/>
      <c r="K7" s="295"/>
      <c r="L7" s="282" t="str">
        <f>IF($AK10=0,"Games Won","Matches Won")</f>
        <v>Games Won</v>
      </c>
      <c r="M7" s="295"/>
      <c r="N7" s="295"/>
      <c r="O7" s="295"/>
      <c r="P7" s="295"/>
      <c r="Q7" s="296"/>
      <c r="R7" s="282" t="str">
        <f>IF($AK10=0,"Games Lost","Matches Lost")</f>
        <v>Games Lost</v>
      </c>
      <c r="S7" s="299"/>
      <c r="T7" s="299"/>
      <c r="U7" s="299"/>
      <c r="V7" s="300"/>
      <c r="W7" s="301" t="s">
        <v>18</v>
      </c>
      <c r="X7" s="302"/>
      <c r="Y7" s="303"/>
      <c r="Z7" s="301" t="s">
        <v>189</v>
      </c>
      <c r="AA7" s="302"/>
      <c r="AB7" s="303"/>
      <c r="AC7" s="312" t="s">
        <v>19</v>
      </c>
      <c r="AD7" s="313"/>
      <c r="AE7" s="314"/>
      <c r="AF7" s="98" t="s">
        <v>20</v>
      </c>
      <c r="AG7" s="151" t="s">
        <v>4</v>
      </c>
      <c r="AH7" s="315" t="s">
        <v>21</v>
      </c>
      <c r="AI7" s="316"/>
      <c r="AJ7" s="99"/>
      <c r="AK7" s="100">
        <v>2</v>
      </c>
      <c r="AL7" s="101" t="s">
        <v>22</v>
      </c>
      <c r="AM7" s="101"/>
      <c r="AN7" s="101"/>
      <c r="AO7" s="101"/>
      <c r="AP7" s="101"/>
      <c r="AQ7" s="101"/>
      <c r="AR7" s="102"/>
      <c r="AT7" s="491">
        <v>5</v>
      </c>
      <c r="AU7" s="487" t="s">
        <v>90</v>
      </c>
      <c r="AV7" s="487" t="s">
        <v>133</v>
      </c>
      <c r="AW7" s="488">
        <f>VLOOKUP(AV7,Initial!G:K,5,FALSE)</f>
        <v>1200</v>
      </c>
      <c r="AX7" s="493">
        <f t="shared" si="0"/>
        <v>1207.6014825585389</v>
      </c>
      <c r="AY7" s="490">
        <f t="shared" si="1"/>
        <v>1207.6014825585389</v>
      </c>
    </row>
    <row r="8" spans="1:53" ht="18.75" customHeight="1" thickBot="1">
      <c r="A8" s="317" t="str">
        <f>IF($AK9&gt;0,"1","")</f>
        <v>1</v>
      </c>
      <c r="B8" s="319" t="s">
        <v>5</v>
      </c>
      <c r="C8" s="320"/>
      <c r="D8" s="321"/>
      <c r="E8" s="322" t="str">
        <f>AU3</f>
        <v>Columbia SC Starlings 12</v>
      </c>
      <c r="F8" s="323"/>
      <c r="G8" s="323"/>
      <c r="H8" s="323"/>
      <c r="I8" s="323"/>
      <c r="J8" s="323"/>
      <c r="K8" s="324"/>
      <c r="L8" s="304">
        <f>IF($AK10=0,AF64,AF46)</f>
        <v>1</v>
      </c>
      <c r="M8" s="305"/>
      <c r="N8" s="305"/>
      <c r="O8" s="305"/>
      <c r="P8" s="305"/>
      <c r="Q8" s="297"/>
      <c r="R8" s="304">
        <f>IF($AK10=0,AG64,AG46)</f>
        <v>3</v>
      </c>
      <c r="S8" s="305"/>
      <c r="T8" s="305"/>
      <c r="U8" s="305"/>
      <c r="V8" s="305"/>
      <c r="W8" s="304">
        <f>AQ24</f>
        <v>-39</v>
      </c>
      <c r="X8" s="305"/>
      <c r="Y8" s="305"/>
      <c r="Z8" s="308">
        <f>IF(AF58&gt;0,(AQ24/AF58),0)</f>
        <v>-0.39795918367346939</v>
      </c>
      <c r="AA8" s="309"/>
      <c r="AB8" s="309"/>
      <c r="AC8" s="325">
        <f>IF(AF72=0,0,(AF64/AF72))</f>
        <v>0.25</v>
      </c>
      <c r="AD8" s="326"/>
      <c r="AE8" s="327"/>
      <c r="AF8" s="331">
        <v>3</v>
      </c>
      <c r="AG8" s="331">
        <v>1</v>
      </c>
      <c r="AH8" s="333"/>
      <c r="AI8" s="334"/>
      <c r="AJ8" s="99"/>
      <c r="AK8" s="100">
        <v>3</v>
      </c>
      <c r="AL8" s="101" t="s">
        <v>23</v>
      </c>
      <c r="AM8" s="101"/>
      <c r="AN8" s="101"/>
      <c r="AO8" s="101"/>
      <c r="AP8" s="101"/>
      <c r="AQ8" s="101"/>
      <c r="AR8" s="102"/>
      <c r="AT8" s="491">
        <v>6</v>
      </c>
      <c r="AU8" s="487" t="s">
        <v>134</v>
      </c>
      <c r="AV8" s="487" t="s">
        <v>135</v>
      </c>
      <c r="AW8" s="488">
        <f>VLOOKUP(AV8,Initial!G:K,5,FALSE)</f>
        <v>1200</v>
      </c>
      <c r="AX8" s="493">
        <f t="shared" si="0"/>
        <v>1246.3704475419222</v>
      </c>
      <c r="AY8" s="490">
        <f t="shared" si="1"/>
        <v>1246.3704475419222</v>
      </c>
    </row>
    <row r="9" spans="1:53" ht="18.75" customHeight="1" thickBot="1">
      <c r="A9" s="318"/>
      <c r="B9" s="337" t="s">
        <v>6</v>
      </c>
      <c r="C9" s="338"/>
      <c r="D9" s="339"/>
      <c r="E9" s="340" t="str">
        <f>AV3</f>
        <v>fj2starl1pm</v>
      </c>
      <c r="F9" s="341"/>
      <c r="G9" s="341"/>
      <c r="H9" s="341"/>
      <c r="I9" s="341"/>
      <c r="J9" s="341"/>
      <c r="K9" s="341"/>
      <c r="L9" s="306"/>
      <c r="M9" s="307"/>
      <c r="N9" s="307"/>
      <c r="O9" s="307"/>
      <c r="P9" s="307"/>
      <c r="Q9" s="297"/>
      <c r="R9" s="306"/>
      <c r="S9" s="307"/>
      <c r="T9" s="307"/>
      <c r="U9" s="307"/>
      <c r="V9" s="307"/>
      <c r="W9" s="306"/>
      <c r="X9" s="307"/>
      <c r="Y9" s="307"/>
      <c r="Z9" s="310"/>
      <c r="AA9" s="311"/>
      <c r="AB9" s="311"/>
      <c r="AC9" s="328"/>
      <c r="AD9" s="329"/>
      <c r="AE9" s="330"/>
      <c r="AF9" s="332"/>
      <c r="AG9" s="332"/>
      <c r="AH9" s="335"/>
      <c r="AI9" s="336"/>
      <c r="AJ9" s="99"/>
      <c r="AK9" s="100">
        <v>3</v>
      </c>
      <c r="AL9" s="101" t="s">
        <v>190</v>
      </c>
      <c r="AM9" s="99"/>
      <c r="AN9" s="99"/>
      <c r="AO9" s="99"/>
      <c r="AP9" s="99"/>
      <c r="AQ9" s="99"/>
      <c r="AR9" s="46"/>
      <c r="AT9" s="491">
        <v>7</v>
      </c>
      <c r="AU9" s="487" t="s">
        <v>137</v>
      </c>
      <c r="AV9" s="487" t="s">
        <v>138</v>
      </c>
      <c r="AW9" s="488">
        <f>VLOOKUP(AV9,Initial!G:K,5,FALSE)</f>
        <v>1400</v>
      </c>
      <c r="AX9" s="493">
        <f t="shared" si="0"/>
        <v>1367.8516260143563</v>
      </c>
      <c r="AY9" s="490">
        <f t="shared" si="1"/>
        <v>1367.8516260143563</v>
      </c>
    </row>
    <row r="10" spans="1:53" ht="18.75" customHeight="1" thickBot="1">
      <c r="A10" s="317" t="str">
        <f>IF($AK9&gt;1,"2","")</f>
        <v>2</v>
      </c>
      <c r="B10" s="319" t="s">
        <v>5</v>
      </c>
      <c r="C10" s="320"/>
      <c r="D10" s="321"/>
      <c r="E10" s="322" t="str">
        <f>AU8</f>
        <v>SC Midlands KP Boys</v>
      </c>
      <c r="F10" s="323"/>
      <c r="G10" s="323"/>
      <c r="H10" s="323"/>
      <c r="I10" s="323"/>
      <c r="J10" s="323"/>
      <c r="K10" s="324"/>
      <c r="L10" s="304">
        <f>IF($AK10=0,AF65,AF47)</f>
        <v>3</v>
      </c>
      <c r="M10" s="305"/>
      <c r="N10" s="305"/>
      <c r="O10" s="305"/>
      <c r="P10" s="305"/>
      <c r="Q10" s="297"/>
      <c r="R10" s="304">
        <f>IF($AK10=0,AG65,AG47)</f>
        <v>1</v>
      </c>
      <c r="S10" s="305"/>
      <c r="T10" s="305"/>
      <c r="U10" s="305"/>
      <c r="V10" s="305"/>
      <c r="W10" s="304">
        <f>AQ25</f>
        <v>27</v>
      </c>
      <c r="X10" s="305"/>
      <c r="Y10" s="305"/>
      <c r="Z10" s="308">
        <f>IF(AF59&gt;0,(AQ25/AF59),0)</f>
        <v>0.29347826086956524</v>
      </c>
      <c r="AA10" s="309"/>
      <c r="AB10" s="309"/>
      <c r="AC10" s="325">
        <f>IF(AF73=0,0,(AF65/AF73))</f>
        <v>0.75</v>
      </c>
      <c r="AD10" s="326"/>
      <c r="AE10" s="327"/>
      <c r="AF10" s="331">
        <v>1</v>
      </c>
      <c r="AG10" s="331">
        <v>1</v>
      </c>
      <c r="AH10" s="333"/>
      <c r="AI10" s="334"/>
      <c r="AJ10" s="99"/>
      <c r="AK10" s="100">
        <v>0</v>
      </c>
      <c r="AL10" s="101" t="s">
        <v>24</v>
      </c>
      <c r="AM10" s="101"/>
      <c r="AN10" s="101"/>
      <c r="AO10" s="101"/>
      <c r="AP10" s="101"/>
      <c r="AQ10" s="101"/>
      <c r="AR10" s="102"/>
      <c r="AT10" s="491">
        <v>8</v>
      </c>
      <c r="AU10" s="487" t="s">
        <v>161</v>
      </c>
      <c r="AV10" s="487" t="s">
        <v>162</v>
      </c>
      <c r="AW10" s="488">
        <f>VLOOKUP(AV10,Initial!G:K,5,FALSE)</f>
        <v>1400</v>
      </c>
      <c r="AX10" s="493">
        <f t="shared" si="0"/>
        <v>1361.9324878368475</v>
      </c>
      <c r="AY10" s="490">
        <f t="shared" si="1"/>
        <v>1361.9324878368475</v>
      </c>
    </row>
    <row r="11" spans="1:53" ht="18.75" customHeight="1" thickBot="1">
      <c r="A11" s="318"/>
      <c r="B11" s="342" t="s">
        <v>6</v>
      </c>
      <c r="C11" s="343"/>
      <c r="D11" s="343"/>
      <c r="E11" s="340" t="str">
        <f>AV8</f>
        <v>fj2scmid3pm</v>
      </c>
      <c r="F11" s="341"/>
      <c r="G11" s="341"/>
      <c r="H11" s="341"/>
      <c r="I11" s="341"/>
      <c r="J11" s="341"/>
      <c r="K11" s="341"/>
      <c r="L11" s="306"/>
      <c r="M11" s="307"/>
      <c r="N11" s="307"/>
      <c r="O11" s="307"/>
      <c r="P11" s="307"/>
      <c r="Q11" s="297"/>
      <c r="R11" s="306"/>
      <c r="S11" s="307"/>
      <c r="T11" s="307"/>
      <c r="U11" s="307"/>
      <c r="V11" s="307"/>
      <c r="W11" s="306"/>
      <c r="X11" s="307"/>
      <c r="Y11" s="307"/>
      <c r="Z11" s="310"/>
      <c r="AA11" s="311"/>
      <c r="AB11" s="311"/>
      <c r="AC11" s="328"/>
      <c r="AD11" s="329"/>
      <c r="AE11" s="330"/>
      <c r="AF11" s="332"/>
      <c r="AG11" s="332"/>
      <c r="AH11" s="335"/>
      <c r="AI11" s="336"/>
      <c r="AJ11" s="99"/>
      <c r="AK11" s="100">
        <v>1</v>
      </c>
      <c r="AL11" s="101" t="s">
        <v>25</v>
      </c>
      <c r="AM11" s="99"/>
      <c r="AN11" s="99"/>
      <c r="AO11" s="99"/>
      <c r="AP11" s="99"/>
      <c r="AQ11" s="99"/>
      <c r="AR11" s="46"/>
      <c r="AT11" s="491">
        <v>9</v>
      </c>
      <c r="AU11" s="487" t="s">
        <v>146</v>
      </c>
      <c r="AV11" s="487" t="s">
        <v>96</v>
      </c>
      <c r="AW11" s="488">
        <f>VLOOKUP(AV11,Initial!G:K,5,FALSE)</f>
        <v>1200</v>
      </c>
      <c r="AX11" s="493">
        <f t="shared" si="0"/>
        <v>1184.3092132419554</v>
      </c>
      <c r="AY11" s="490">
        <f t="shared" si="1"/>
        <v>1184.3092132419554</v>
      </c>
    </row>
    <row r="12" spans="1:53" ht="18.75" customHeight="1" thickBot="1">
      <c r="A12" s="317" t="str">
        <f>IF($AK9&gt;2,"3","")</f>
        <v>3</v>
      </c>
      <c r="B12" s="344" t="s">
        <v>5</v>
      </c>
      <c r="C12" s="345"/>
      <c r="D12" s="345"/>
      <c r="E12" s="322" t="str">
        <f>AU9</f>
        <v>USA 12 Blue</v>
      </c>
      <c r="F12" s="323"/>
      <c r="G12" s="323"/>
      <c r="H12" s="323"/>
      <c r="I12" s="323"/>
      <c r="J12" s="323"/>
      <c r="K12" s="324"/>
      <c r="L12" s="304">
        <f>IF($AK10=0,AF66,AF48)</f>
        <v>2</v>
      </c>
      <c r="M12" s="305"/>
      <c r="N12" s="305"/>
      <c r="O12" s="305"/>
      <c r="P12" s="305"/>
      <c r="Q12" s="297"/>
      <c r="R12" s="304">
        <f>IF($AK10=0,AG66,AG48)</f>
        <v>2</v>
      </c>
      <c r="S12" s="305"/>
      <c r="T12" s="305"/>
      <c r="U12" s="305"/>
      <c r="V12" s="305"/>
      <c r="W12" s="304">
        <f>AQ26</f>
        <v>12</v>
      </c>
      <c r="X12" s="305"/>
      <c r="Y12" s="305"/>
      <c r="Z12" s="308">
        <f>IF(AF60&gt;0,(AQ26/AF60),0)</f>
        <v>0.13636363636363635</v>
      </c>
      <c r="AA12" s="309"/>
      <c r="AB12" s="309"/>
      <c r="AC12" s="325">
        <f>IF(AF74=0,0,(AF66/AF74))</f>
        <v>0.5</v>
      </c>
      <c r="AD12" s="326"/>
      <c r="AE12" s="327"/>
      <c r="AF12" s="331">
        <v>2</v>
      </c>
      <c r="AG12" s="331">
        <v>1</v>
      </c>
      <c r="AH12" s="333"/>
      <c r="AI12" s="334"/>
      <c r="AJ12" s="103"/>
      <c r="AK12" s="100">
        <v>4</v>
      </c>
      <c r="AL12" s="152" t="s">
        <v>191</v>
      </c>
      <c r="AM12" s="101"/>
      <c r="AN12" s="101"/>
      <c r="AO12" s="101"/>
      <c r="AP12" s="101"/>
      <c r="AQ12" s="101"/>
      <c r="AR12" s="102"/>
      <c r="AT12" s="491">
        <v>10</v>
      </c>
      <c r="AU12" s="495" t="s">
        <v>192</v>
      </c>
      <c r="AV12" s="496" t="s">
        <v>193</v>
      </c>
      <c r="AW12" s="492">
        <v>2010</v>
      </c>
      <c r="AX12" s="493">
        <f t="shared" si="0"/>
        <v>2010</v>
      </c>
      <c r="AY12" s="490">
        <f t="shared" si="1"/>
        <v>2010</v>
      </c>
    </row>
    <row r="13" spans="1:53" ht="18.75" customHeight="1" thickBot="1">
      <c r="A13" s="318"/>
      <c r="B13" s="342" t="s">
        <v>6</v>
      </c>
      <c r="C13" s="343"/>
      <c r="D13" s="343"/>
      <c r="E13" s="340" t="str">
        <f>AV9</f>
        <v>fj2unsel1cr</v>
      </c>
      <c r="F13" s="341"/>
      <c r="G13" s="341"/>
      <c r="H13" s="341"/>
      <c r="I13" s="341"/>
      <c r="J13" s="341"/>
      <c r="K13" s="341"/>
      <c r="L13" s="306"/>
      <c r="M13" s="307"/>
      <c r="N13" s="307"/>
      <c r="O13" s="307"/>
      <c r="P13" s="307"/>
      <c r="Q13" s="297"/>
      <c r="R13" s="306"/>
      <c r="S13" s="307"/>
      <c r="T13" s="307"/>
      <c r="U13" s="307"/>
      <c r="V13" s="307"/>
      <c r="W13" s="306"/>
      <c r="X13" s="307"/>
      <c r="Y13" s="307"/>
      <c r="Z13" s="310"/>
      <c r="AA13" s="311"/>
      <c r="AB13" s="311"/>
      <c r="AC13" s="328"/>
      <c r="AD13" s="329"/>
      <c r="AE13" s="330"/>
      <c r="AF13" s="332"/>
      <c r="AG13" s="332"/>
      <c r="AH13" s="335"/>
      <c r="AI13" s="336"/>
      <c r="AJ13" s="103"/>
      <c r="AK13" s="153"/>
      <c r="AL13" s="154"/>
      <c r="AM13" s="154"/>
      <c r="AN13" s="154"/>
      <c r="AO13" s="154"/>
      <c r="AP13" s="154"/>
      <c r="AQ13" s="99"/>
      <c r="AR13" s="46"/>
      <c r="AT13" s="491">
        <v>11</v>
      </c>
      <c r="AU13" s="495" t="s">
        <v>194</v>
      </c>
      <c r="AV13" s="496" t="s">
        <v>195</v>
      </c>
      <c r="AW13" s="492">
        <v>2011</v>
      </c>
      <c r="AX13" s="493">
        <f t="shared" si="0"/>
        <v>2011</v>
      </c>
      <c r="AY13" s="490">
        <f t="shared" si="1"/>
        <v>2011</v>
      </c>
    </row>
    <row r="14" spans="1:53" ht="18.75" hidden="1" customHeight="1">
      <c r="A14" s="317" t="str">
        <f>IF($AK9&gt;3,"4","")</f>
        <v/>
      </c>
      <c r="B14" s="344" t="s">
        <v>5</v>
      </c>
      <c r="C14" s="345"/>
      <c r="D14" s="345"/>
      <c r="E14" s="322" t="str">
        <f>AU14</f>
        <v>Team 12</v>
      </c>
      <c r="F14" s="323"/>
      <c r="G14" s="323"/>
      <c r="H14" s="323"/>
      <c r="I14" s="323"/>
      <c r="J14" s="323"/>
      <c r="K14" s="324"/>
      <c r="L14" s="304">
        <f>IF($AK10=0,AF67,AF49)</f>
        <v>0</v>
      </c>
      <c r="M14" s="305"/>
      <c r="N14" s="305"/>
      <c r="O14" s="305"/>
      <c r="P14" s="305"/>
      <c r="Q14" s="297"/>
      <c r="R14" s="304">
        <f>IF($AK10=0,AG67,AG49)</f>
        <v>0</v>
      </c>
      <c r="S14" s="305"/>
      <c r="T14" s="305"/>
      <c r="U14" s="305"/>
      <c r="V14" s="305"/>
      <c r="W14" s="304">
        <f>AQ27</f>
        <v>0</v>
      </c>
      <c r="X14" s="305"/>
      <c r="Y14" s="305"/>
      <c r="Z14" s="308">
        <f>IF(AF61&gt;0,(AQ27/AF61),0)</f>
        <v>0</v>
      </c>
      <c r="AA14" s="309"/>
      <c r="AB14" s="309"/>
      <c r="AC14" s="325">
        <f>IF(AF75=0,0,(AF67/AF75))</f>
        <v>0</v>
      </c>
      <c r="AD14" s="326"/>
      <c r="AE14" s="327"/>
      <c r="AF14" s="331"/>
      <c r="AG14" s="331"/>
      <c r="AH14" s="333"/>
      <c r="AI14" s="334"/>
      <c r="AJ14" s="1"/>
      <c r="AK14" s="154"/>
      <c r="AL14" s="154"/>
      <c r="AM14" s="154"/>
      <c r="AN14" s="154"/>
      <c r="AO14" s="154"/>
      <c r="AP14" s="154"/>
      <c r="AQ14" s="101"/>
      <c r="AR14" s="102"/>
      <c r="AT14" s="491">
        <v>12</v>
      </c>
      <c r="AU14" s="495" t="s">
        <v>196</v>
      </c>
      <c r="AV14" s="496" t="s">
        <v>197</v>
      </c>
      <c r="AW14" s="492">
        <v>2012</v>
      </c>
      <c r="AX14" s="493">
        <f t="shared" si="0"/>
        <v>2012</v>
      </c>
      <c r="AY14" s="494" t="e">
        <f>IF(ISNA(VLOOKUP(AU14,#REF!,2,FALSE)),AX14,VLOOKUP(AU14,#REF!,2,FALSE))</f>
        <v>#REF!</v>
      </c>
    </row>
    <row r="15" spans="1:53" ht="18.75" hidden="1" customHeight="1" thickBot="1">
      <c r="A15" s="318"/>
      <c r="B15" s="342" t="s">
        <v>6</v>
      </c>
      <c r="C15" s="343"/>
      <c r="D15" s="343"/>
      <c r="E15" s="340" t="str">
        <f>AV14</f>
        <v>Code 12</v>
      </c>
      <c r="F15" s="341"/>
      <c r="G15" s="341"/>
      <c r="H15" s="341"/>
      <c r="I15" s="341"/>
      <c r="J15" s="341"/>
      <c r="K15" s="341"/>
      <c r="L15" s="306"/>
      <c r="M15" s="307"/>
      <c r="N15" s="307"/>
      <c r="O15" s="307"/>
      <c r="P15" s="307"/>
      <c r="Q15" s="297"/>
      <c r="R15" s="306"/>
      <c r="S15" s="307"/>
      <c r="T15" s="307"/>
      <c r="U15" s="307"/>
      <c r="V15" s="307"/>
      <c r="W15" s="306"/>
      <c r="X15" s="307"/>
      <c r="Y15" s="307"/>
      <c r="Z15" s="310"/>
      <c r="AA15" s="311"/>
      <c r="AB15" s="311"/>
      <c r="AC15" s="328"/>
      <c r="AD15" s="329"/>
      <c r="AE15" s="330"/>
      <c r="AF15" s="332"/>
      <c r="AG15" s="332"/>
      <c r="AH15" s="335"/>
      <c r="AI15" s="336"/>
      <c r="AJ15" s="1"/>
      <c r="AK15" s="154"/>
      <c r="AL15" s="154"/>
      <c r="AM15" s="154"/>
      <c r="AN15" s="154"/>
      <c r="AO15" s="154"/>
      <c r="AP15" s="154"/>
      <c r="AQ15" s="1"/>
      <c r="AR15" s="46"/>
      <c r="AT15" s="491"/>
      <c r="AU15" s="495"/>
      <c r="AV15" s="496"/>
      <c r="AW15" s="492"/>
      <c r="AX15" s="493"/>
      <c r="AY15" s="494"/>
    </row>
    <row r="16" spans="1:53" ht="18.75" hidden="1" customHeight="1">
      <c r="A16" s="317" t="str">
        <f>IF($AK9&gt;4,"5","")</f>
        <v/>
      </c>
      <c r="B16" s="344" t="s">
        <v>5</v>
      </c>
      <c r="C16" s="345"/>
      <c r="D16" s="345"/>
      <c r="E16" s="346">
        <f>AU15</f>
        <v>0</v>
      </c>
      <c r="F16" s="347"/>
      <c r="G16" s="347"/>
      <c r="H16" s="347"/>
      <c r="I16" s="347"/>
      <c r="J16" s="347"/>
      <c r="K16" s="348"/>
      <c r="L16" s="304">
        <f>IF($AK10=0,AF68,AF50)</f>
        <v>0</v>
      </c>
      <c r="M16" s="305"/>
      <c r="N16" s="305"/>
      <c r="O16" s="305"/>
      <c r="P16" s="305"/>
      <c r="Q16" s="297"/>
      <c r="R16" s="304">
        <f>IF($AK10=0,AG68,AG50)</f>
        <v>0</v>
      </c>
      <c r="S16" s="305"/>
      <c r="T16" s="305"/>
      <c r="U16" s="305"/>
      <c r="V16" s="305"/>
      <c r="W16" s="304">
        <f>AQ28</f>
        <v>0</v>
      </c>
      <c r="X16" s="305"/>
      <c r="Y16" s="305"/>
      <c r="Z16" s="308">
        <f>IF(AF62&gt;0,(AQ28/AF62),0)</f>
        <v>0</v>
      </c>
      <c r="AA16" s="309"/>
      <c r="AB16" s="309"/>
      <c r="AC16" s="325">
        <f>IF(AF76=0,0,(AF68/AF76))</f>
        <v>0</v>
      </c>
      <c r="AD16" s="326"/>
      <c r="AE16" s="327"/>
      <c r="AF16" s="331"/>
      <c r="AG16" s="331"/>
      <c r="AH16" s="333"/>
      <c r="AI16" s="334"/>
      <c r="AJ16" s="1"/>
      <c r="AK16" s="154"/>
      <c r="AL16" s="154"/>
      <c r="AM16" s="154"/>
      <c r="AN16" s="154"/>
      <c r="AO16" s="154"/>
      <c r="AP16" s="154"/>
      <c r="AQ16" s="1"/>
      <c r="AR16" s="46"/>
      <c r="AT16" s="491"/>
      <c r="AU16" s="495"/>
      <c r="AV16" s="492"/>
      <c r="AW16" s="492"/>
      <c r="AX16" s="493"/>
      <c r="AY16" s="494"/>
    </row>
    <row r="17" spans="1:51" ht="18.75" hidden="1" customHeight="1" thickBot="1">
      <c r="A17" s="318"/>
      <c r="B17" s="359" t="s">
        <v>6</v>
      </c>
      <c r="C17" s="360"/>
      <c r="D17" s="360"/>
      <c r="E17" s="361">
        <f>AV15</f>
        <v>0</v>
      </c>
      <c r="F17" s="362"/>
      <c r="G17" s="362"/>
      <c r="H17" s="362"/>
      <c r="I17" s="362"/>
      <c r="J17" s="362"/>
      <c r="K17" s="362"/>
      <c r="L17" s="349"/>
      <c r="M17" s="350"/>
      <c r="N17" s="350"/>
      <c r="O17" s="350"/>
      <c r="P17" s="350"/>
      <c r="Q17" s="298"/>
      <c r="R17" s="349"/>
      <c r="S17" s="350"/>
      <c r="T17" s="350"/>
      <c r="U17" s="350"/>
      <c r="V17" s="350"/>
      <c r="W17" s="349"/>
      <c r="X17" s="350"/>
      <c r="Y17" s="350"/>
      <c r="Z17" s="351"/>
      <c r="AA17" s="352"/>
      <c r="AB17" s="352"/>
      <c r="AC17" s="353"/>
      <c r="AD17" s="354"/>
      <c r="AE17" s="355"/>
      <c r="AF17" s="356"/>
      <c r="AG17" s="356"/>
      <c r="AH17" s="357"/>
      <c r="AI17" s="358"/>
      <c r="AJ17" s="1"/>
      <c r="AK17" s="154"/>
      <c r="AL17" s="154"/>
      <c r="AM17" s="154"/>
      <c r="AN17" s="154"/>
      <c r="AO17" s="154"/>
      <c r="AP17" s="154"/>
      <c r="AQ17" s="1"/>
      <c r="AR17" s="46"/>
      <c r="AT17" s="497"/>
      <c r="AU17" s="498"/>
      <c r="AV17" s="499"/>
      <c r="AW17" s="499"/>
      <c r="AX17" s="500"/>
      <c r="AY17" s="501"/>
    </row>
    <row r="18" spans="1:51" ht="21" customHeight="1" thickTop="1" thickBot="1">
      <c r="A18" s="106"/>
      <c r="B18" s="363" t="s">
        <v>198</v>
      </c>
      <c r="C18" s="364"/>
      <c r="D18" s="364"/>
      <c r="E18" s="364"/>
      <c r="F18" s="364"/>
      <c r="G18" s="364"/>
      <c r="H18" s="364"/>
      <c r="I18" s="364"/>
      <c r="J18" s="364"/>
      <c r="K18" s="364"/>
      <c r="L18" s="364"/>
      <c r="M18" s="364"/>
      <c r="N18" s="364"/>
      <c r="O18" s="364"/>
      <c r="P18" s="364"/>
      <c r="Q18" s="364"/>
      <c r="R18" s="364"/>
      <c r="S18" s="364"/>
      <c r="T18" s="364"/>
      <c r="U18" s="364"/>
      <c r="V18" s="364"/>
      <c r="W18" s="364"/>
      <c r="X18" s="364"/>
      <c r="Y18" s="364"/>
      <c r="Z18" s="364"/>
      <c r="AA18" s="364"/>
      <c r="AB18" s="364"/>
      <c r="AC18" s="364"/>
      <c r="AD18" s="364"/>
      <c r="AE18" s="364"/>
      <c r="AF18" s="364"/>
      <c r="AG18" s="364"/>
      <c r="AH18" s="364"/>
      <c r="AI18" s="365"/>
      <c r="AJ18" s="1"/>
      <c r="AK18" s="154"/>
      <c r="AL18" s="154"/>
      <c r="AM18" s="154"/>
      <c r="AN18" s="154"/>
      <c r="AO18" s="154"/>
      <c r="AP18" s="154"/>
      <c r="AQ18" s="1"/>
      <c r="AR18" s="46"/>
      <c r="AT18" s="502" t="s">
        <v>26</v>
      </c>
      <c r="AU18" s="503"/>
      <c r="AV18" s="503"/>
      <c r="AW18" s="503"/>
      <c r="AX18" s="503"/>
      <c r="AY18" s="504"/>
    </row>
    <row r="19" spans="1:51" ht="14.25" thickTop="1" thickBot="1">
      <c r="A19" s="3" t="s">
        <v>27</v>
      </c>
      <c r="B19" s="372">
        <v>0.35416666666666669</v>
      </c>
      <c r="C19" s="373"/>
      <c r="D19" s="374"/>
      <c r="E19" s="372">
        <v>0.375</v>
      </c>
      <c r="F19" s="373"/>
      <c r="G19" s="374"/>
      <c r="H19" s="372">
        <v>0.39583333333333331</v>
      </c>
      <c r="I19" s="373"/>
      <c r="J19" s="374"/>
      <c r="K19" s="372">
        <v>0.47916666666666669</v>
      </c>
      <c r="L19" s="373"/>
      <c r="M19" s="374"/>
      <c r="N19" s="372">
        <v>0.52083333333333337</v>
      </c>
      <c r="O19" s="373"/>
      <c r="P19" s="374"/>
      <c r="Q19" s="372">
        <v>6.25E-2</v>
      </c>
      <c r="R19" s="373"/>
      <c r="S19" s="374"/>
      <c r="T19" s="372"/>
      <c r="U19" s="373"/>
      <c r="V19" s="374"/>
      <c r="W19" s="372"/>
      <c r="X19" s="373"/>
      <c r="Y19" s="374"/>
      <c r="Z19" s="372"/>
      <c r="AA19" s="373"/>
      <c r="AB19" s="374"/>
      <c r="AC19" s="372"/>
      <c r="AD19" s="373"/>
      <c r="AE19" s="374"/>
      <c r="AF19" s="375" t="s">
        <v>199</v>
      </c>
      <c r="AG19" s="376"/>
      <c r="AH19" s="376"/>
      <c r="AI19" s="376"/>
      <c r="AJ19" s="377"/>
      <c r="AK19" s="377"/>
      <c r="AL19" s="377"/>
      <c r="AM19" s="377"/>
      <c r="AN19" s="377"/>
      <c r="AO19" s="377"/>
      <c r="AP19" s="377"/>
      <c r="AQ19" s="378"/>
      <c r="AT19" s="505"/>
      <c r="AU19" s="506"/>
      <c r="AV19" s="506"/>
      <c r="AW19" s="506"/>
      <c r="AX19" s="506"/>
      <c r="AY19" s="507"/>
    </row>
    <row r="20" spans="1:51">
      <c r="A20" s="107" t="s">
        <v>28</v>
      </c>
      <c r="B20" s="383"/>
      <c r="C20" s="384"/>
      <c r="D20" s="385"/>
      <c r="E20" s="383"/>
      <c r="F20" s="384"/>
      <c r="G20" s="385"/>
      <c r="H20" s="383"/>
      <c r="I20" s="384"/>
      <c r="J20" s="385"/>
      <c r="K20" s="383"/>
      <c r="L20" s="384"/>
      <c r="M20" s="385"/>
      <c r="N20" s="383"/>
      <c r="O20" s="384"/>
      <c r="P20" s="385"/>
      <c r="Q20" s="383"/>
      <c r="R20" s="384"/>
      <c r="S20" s="385"/>
      <c r="T20" s="383"/>
      <c r="U20" s="384"/>
      <c r="V20" s="385"/>
      <c r="W20" s="383"/>
      <c r="X20" s="384"/>
      <c r="Y20" s="385"/>
      <c r="Z20" s="383"/>
      <c r="AA20" s="384"/>
      <c r="AB20" s="385"/>
      <c r="AC20" s="383"/>
      <c r="AD20" s="384"/>
      <c r="AE20" s="385"/>
      <c r="AF20" s="375"/>
      <c r="AG20" s="376"/>
      <c r="AH20" s="376"/>
      <c r="AI20" s="376"/>
      <c r="AJ20" s="376"/>
      <c r="AK20" s="376"/>
      <c r="AL20" s="376"/>
      <c r="AM20" s="376"/>
      <c r="AN20" s="376"/>
      <c r="AO20" s="376"/>
      <c r="AP20" s="376"/>
      <c r="AQ20" s="379"/>
      <c r="AW20" s="508"/>
    </row>
    <row r="21" spans="1:51">
      <c r="A21" s="107" t="s">
        <v>29</v>
      </c>
      <c r="B21" s="383"/>
      <c r="C21" s="384"/>
      <c r="D21" s="385"/>
      <c r="E21" s="383"/>
      <c r="F21" s="384"/>
      <c r="G21" s="385"/>
      <c r="H21" s="383"/>
      <c r="I21" s="384"/>
      <c r="J21" s="385"/>
      <c r="K21" s="383"/>
      <c r="L21" s="384"/>
      <c r="M21" s="385"/>
      <c r="N21" s="383"/>
      <c r="O21" s="384"/>
      <c r="P21" s="385"/>
      <c r="Q21" s="383"/>
      <c r="R21" s="384"/>
      <c r="S21" s="385"/>
      <c r="T21" s="383"/>
      <c r="U21" s="384"/>
      <c r="V21" s="385"/>
      <c r="W21" s="383"/>
      <c r="X21" s="384"/>
      <c r="Y21" s="385"/>
      <c r="Z21" s="383"/>
      <c r="AA21" s="384"/>
      <c r="AB21" s="385"/>
      <c r="AC21" s="383"/>
      <c r="AD21" s="384"/>
      <c r="AE21" s="385"/>
      <c r="AF21" s="375"/>
      <c r="AG21" s="376"/>
      <c r="AH21" s="376"/>
      <c r="AI21" s="376"/>
      <c r="AJ21" s="376"/>
      <c r="AK21" s="376"/>
      <c r="AL21" s="376"/>
      <c r="AM21" s="376"/>
      <c r="AN21" s="376"/>
      <c r="AO21" s="376"/>
      <c r="AP21" s="376"/>
      <c r="AQ21" s="379"/>
      <c r="AS21" s="132"/>
      <c r="AT21" s="509"/>
      <c r="AU21" s="509"/>
      <c r="AV21" s="509"/>
      <c r="AW21" s="508"/>
    </row>
    <row r="22" spans="1:51" ht="13.5" thickBot="1">
      <c r="A22" s="1"/>
      <c r="B22" s="386" t="s">
        <v>30</v>
      </c>
      <c r="C22" s="387"/>
      <c r="D22" s="388"/>
      <c r="E22" s="386" t="str">
        <f>IF(AK8&gt;1,"Match 2","")</f>
        <v>Match 2</v>
      </c>
      <c r="F22" s="387"/>
      <c r="G22" s="388"/>
      <c r="H22" s="386" t="str">
        <f>IF(AK8&gt;2,"Match 3","")</f>
        <v>Match 3</v>
      </c>
      <c r="I22" s="387"/>
      <c r="J22" s="388"/>
      <c r="K22" s="386" t="str">
        <f>IF(AK8&gt;3,"Match 4","")</f>
        <v/>
      </c>
      <c r="L22" s="387"/>
      <c r="M22" s="388"/>
      <c r="N22" s="386" t="str">
        <f>IF(AK8&gt;4,"Match 5","")</f>
        <v/>
      </c>
      <c r="O22" s="387"/>
      <c r="P22" s="388"/>
      <c r="Q22" s="386" t="str">
        <f>IF(AK8&gt;5,"Match 6","")</f>
        <v/>
      </c>
      <c r="R22" s="387"/>
      <c r="S22" s="388"/>
      <c r="T22" s="386" t="str">
        <f>IF(AK8&gt;6,"Match 7","")</f>
        <v/>
      </c>
      <c r="U22" s="387"/>
      <c r="V22" s="388"/>
      <c r="W22" s="386" t="str">
        <f>IF(AK8&gt;7,"Match 8","")</f>
        <v/>
      </c>
      <c r="X22" s="387"/>
      <c r="Y22" s="388"/>
      <c r="Z22" s="386" t="str">
        <f>IF(AK8&gt;8,"Match 9","")</f>
        <v/>
      </c>
      <c r="AA22" s="387"/>
      <c r="AB22" s="388"/>
      <c r="AC22" s="386" t="str">
        <f>IF(AK8&gt;9,"Match 10","")</f>
        <v/>
      </c>
      <c r="AD22" s="387"/>
      <c r="AE22" s="388"/>
      <c r="AF22" s="380"/>
      <c r="AG22" s="381"/>
      <c r="AH22" s="381"/>
      <c r="AI22" s="381"/>
      <c r="AJ22" s="381"/>
      <c r="AK22" s="381"/>
      <c r="AL22" s="381"/>
      <c r="AM22" s="381"/>
      <c r="AN22" s="381"/>
      <c r="AO22" s="381"/>
      <c r="AP22" s="381"/>
      <c r="AQ22" s="382"/>
      <c r="AS22" s="104"/>
      <c r="AT22" s="510"/>
      <c r="AU22" s="511"/>
      <c r="AV22" s="511"/>
      <c r="AW22" s="508"/>
    </row>
    <row r="23" spans="1:51" ht="15.75">
      <c r="A23" s="1"/>
      <c r="B23" s="389" t="s">
        <v>33</v>
      </c>
      <c r="C23" s="390"/>
      <c r="D23" s="391"/>
      <c r="E23" s="389" t="s">
        <v>31</v>
      </c>
      <c r="F23" s="390"/>
      <c r="G23" s="391"/>
      <c r="H23" s="389" t="s">
        <v>32</v>
      </c>
      <c r="I23" s="390"/>
      <c r="J23" s="391"/>
      <c r="K23" s="389"/>
      <c r="L23" s="390"/>
      <c r="M23" s="391"/>
      <c r="N23" s="389"/>
      <c r="O23" s="390"/>
      <c r="P23" s="391"/>
      <c r="Q23" s="389"/>
      <c r="R23" s="390"/>
      <c r="S23" s="391"/>
      <c r="T23" s="389"/>
      <c r="U23" s="390"/>
      <c r="V23" s="391"/>
      <c r="W23" s="389"/>
      <c r="X23" s="390"/>
      <c r="Y23" s="391"/>
      <c r="Z23" s="389"/>
      <c r="AA23" s="390"/>
      <c r="AB23" s="391"/>
      <c r="AC23" s="389"/>
      <c r="AD23" s="390"/>
      <c r="AE23" s="391"/>
      <c r="AF23" s="160" t="s">
        <v>34</v>
      </c>
      <c r="AG23" s="108">
        <v>1</v>
      </c>
      <c r="AH23" s="108">
        <v>2</v>
      </c>
      <c r="AI23" s="108">
        <v>3</v>
      </c>
      <c r="AJ23" s="108">
        <v>4</v>
      </c>
      <c r="AK23" s="108">
        <v>5</v>
      </c>
      <c r="AL23" s="108">
        <v>6</v>
      </c>
      <c r="AM23" s="108">
        <v>7</v>
      </c>
      <c r="AN23" s="108">
        <v>8</v>
      </c>
      <c r="AO23" s="108">
        <v>9</v>
      </c>
      <c r="AP23" s="108">
        <v>10</v>
      </c>
      <c r="AQ23" s="161" t="s">
        <v>200</v>
      </c>
      <c r="AS23" s="104"/>
      <c r="AT23" s="510"/>
      <c r="AU23" s="511"/>
      <c r="AV23" s="511"/>
      <c r="AW23" s="511"/>
      <c r="AX23" s="511"/>
      <c r="AY23" s="511"/>
    </row>
    <row r="24" spans="1:51" ht="15.75">
      <c r="A24" s="1"/>
      <c r="B24" s="109">
        <v>1</v>
      </c>
      <c r="C24" s="110" t="s">
        <v>35</v>
      </c>
      <c r="D24" s="111">
        <v>2</v>
      </c>
      <c r="E24" s="109">
        <v>2</v>
      </c>
      <c r="F24" s="110" t="str">
        <f>IF(AK8&gt;1,"v","")</f>
        <v>v</v>
      </c>
      <c r="G24" s="111">
        <v>3</v>
      </c>
      <c r="H24" s="109">
        <v>1</v>
      </c>
      <c r="I24" s="110" t="str">
        <f>IF(AK8&gt;2,"v","")</f>
        <v>v</v>
      </c>
      <c r="J24" s="111">
        <v>3</v>
      </c>
      <c r="K24" s="109"/>
      <c r="L24" s="110" t="str">
        <f>IF(AK8&gt;3,"v","")</f>
        <v/>
      </c>
      <c r="M24" s="111"/>
      <c r="N24" s="109"/>
      <c r="O24" s="110" t="str">
        <f>IF(AK8&gt;4,"v","")</f>
        <v/>
      </c>
      <c r="P24" s="111"/>
      <c r="Q24" s="109"/>
      <c r="R24" s="110" t="str">
        <f>IF(AK8&gt;5,"v","")</f>
        <v/>
      </c>
      <c r="S24" s="111"/>
      <c r="T24" s="109"/>
      <c r="U24" s="110" t="str">
        <f>IF(AK8&gt;6,"v","")</f>
        <v/>
      </c>
      <c r="V24" s="111"/>
      <c r="W24" s="109"/>
      <c r="X24" s="110" t="str">
        <f>IF(AK8&gt;7,"v","")</f>
        <v/>
      </c>
      <c r="Y24" s="111"/>
      <c r="Z24" s="109"/>
      <c r="AA24" s="110" t="str">
        <f>IF(AK8&gt;8,"v","")</f>
        <v/>
      </c>
      <c r="AB24" s="111"/>
      <c r="AC24" s="109"/>
      <c r="AD24" s="110" t="str">
        <f>IF(AK8&gt;9,"v","")</f>
        <v/>
      </c>
      <c r="AE24" s="111"/>
      <c r="AF24" s="160" t="str">
        <f>IF(AK9&gt;0,"Team 1","")</f>
        <v>Team 1</v>
      </c>
      <c r="AG24" s="162">
        <f>IF(AK9&lt;1,"",IF(AK8&lt;1,"",IF(B24=1,B30-D30,IF(D24=1,D30-B30,""))))</f>
        <v>-28</v>
      </c>
      <c r="AH24" s="162" t="str">
        <f>IF(AK9&lt;1,"",IF(AK8&lt;2,"",IF(E24=1,E30-G30,IF(G24=1,G30-E30,""))))</f>
        <v/>
      </c>
      <c r="AI24" s="162">
        <f>IF(AK9&lt;1,"",IF(AK8&lt;3,"",IF(H24=1,H30-J30,IF(J24=1,J30-H30,""))))</f>
        <v>-11</v>
      </c>
      <c r="AJ24" s="162" t="str">
        <f>IF(AK9&lt;1,"",IF(AK8&lt;4,"",IF(K24=1,K30-M30,IF(M24=1,M30-K30,""))))</f>
        <v/>
      </c>
      <c r="AK24" s="162" t="str">
        <f>IF(AK9&lt;1,"",IF(AK8&lt;5,"",IF(N24=1,N30-P30,IF(P24=1,P30-N30,""))))</f>
        <v/>
      </c>
      <c r="AL24" s="162" t="str">
        <f>IF(AK9&lt;1,"",IF(AK8&lt;6,"",IF(Q24=1,Q30-S30,IF(S24=1,S30-Q30,""))))</f>
        <v/>
      </c>
      <c r="AM24" s="162" t="str">
        <f>IF(AK9&lt;1,"",IF(AK8&lt;7,"",IF(T24=1,T30-V30,IF(V24=1,V30-T30,""))))</f>
        <v/>
      </c>
      <c r="AN24" s="162" t="str">
        <f>IF(AK9&lt;1,"",IF(AK8&lt;8,"",IF(W24=1,W30-Y30,IF(Y24=1,Y30-W30,""))))</f>
        <v/>
      </c>
      <c r="AO24" s="162" t="str">
        <f>IF(AK9&lt;1,"",IF(AK8&lt;9,"",IF(Z24=1,Z30-AB30,IF(AB24=1,AB30-Z30,""))))</f>
        <v/>
      </c>
      <c r="AP24" s="162" t="str">
        <f>IF(AK9&lt;1,"",IF(AK8&lt;10,"",IF(AC24=1,AC30-AE30,IF(AE24=1,AE30-AC30,""))))</f>
        <v/>
      </c>
      <c r="AQ24" s="161">
        <f>SUM(AG24:AP24)</f>
        <v>-39</v>
      </c>
      <c r="AS24" s="104"/>
      <c r="AT24" s="510"/>
      <c r="AU24" s="511"/>
      <c r="AV24" s="511"/>
      <c r="AW24" s="511"/>
      <c r="AX24" s="511"/>
      <c r="AY24" s="511"/>
    </row>
    <row r="25" spans="1:51" ht="15">
      <c r="A25" s="3" t="s">
        <v>36</v>
      </c>
      <c r="B25" s="112">
        <v>13</v>
      </c>
      <c r="C25" s="113" t="s">
        <v>37</v>
      </c>
      <c r="D25" s="114">
        <v>24</v>
      </c>
      <c r="E25" s="112">
        <v>21</v>
      </c>
      <c r="F25" s="113" t="str">
        <f>IF(AK8&gt;1,"/","")</f>
        <v>/</v>
      </c>
      <c r="G25" s="114">
        <v>14</v>
      </c>
      <c r="H25" s="112">
        <v>10</v>
      </c>
      <c r="I25" s="113" t="str">
        <f>IF(AK8&gt;2,"/","")</f>
        <v>/</v>
      </c>
      <c r="J25" s="114">
        <v>27</v>
      </c>
      <c r="K25" s="112"/>
      <c r="L25" s="113" t="str">
        <f>IF(AK8&gt;3,"/","")</f>
        <v/>
      </c>
      <c r="M25" s="114"/>
      <c r="N25" s="112"/>
      <c r="O25" s="113" t="str">
        <f>IF(AK8&gt;4,"/","")</f>
        <v/>
      </c>
      <c r="P25" s="114"/>
      <c r="Q25" s="112"/>
      <c r="R25" s="113" t="str">
        <f>IF(AK8&gt;5,"/","")</f>
        <v/>
      </c>
      <c r="S25" s="114"/>
      <c r="T25" s="112"/>
      <c r="U25" s="113" t="str">
        <f>IF(AK8&gt;6,"/","")</f>
        <v/>
      </c>
      <c r="V25" s="114"/>
      <c r="W25" s="112"/>
      <c r="X25" s="113" t="str">
        <f>IF(AK8&gt;7,"/","")</f>
        <v/>
      </c>
      <c r="Y25" s="114"/>
      <c r="Z25" s="112"/>
      <c r="AA25" s="113" t="str">
        <f>IF(AK8&gt;8,"/","")</f>
        <v/>
      </c>
      <c r="AB25" s="114"/>
      <c r="AC25" s="112"/>
      <c r="AD25" s="113" t="str">
        <f>IF(AK8&gt;9,"/","")</f>
        <v/>
      </c>
      <c r="AE25" s="114"/>
      <c r="AF25" s="160" t="str">
        <f>IF(AK9&gt;1,"Team 2","")</f>
        <v>Team 2</v>
      </c>
      <c r="AG25" s="162">
        <f>IF(AK9&lt;2,"",IF(AK8&lt;1,"",IF(B24=2,B30-D30,IF(D24=2,D30-B30,""))))</f>
        <v>28</v>
      </c>
      <c r="AH25" s="162">
        <f>IF(AK9&lt;2,"",IF(AK8&lt;2,"",IF(E24=2,E30-G30,IF(G24=2,G30-E30,""))))</f>
        <v>-1</v>
      </c>
      <c r="AI25" s="162" t="str">
        <f>IF(AK9&lt;2,"",IF(AK8&lt;3,"",IF(H24=2,H30-J30,IF(J24=2,J30-H30,""))))</f>
        <v/>
      </c>
      <c r="AJ25" s="162" t="str">
        <f>IF(AK9&lt;2,"",IF(AK8&lt;4,"",IF(K24=2,K30-M30,IF(M24=2,M30-K30,""))))</f>
        <v/>
      </c>
      <c r="AK25" s="162" t="str">
        <f>IF(AK9&lt;2,"",IF(AK8&lt;5,"",IF(N24=2,N30-P30,IF(P24=2,P30-N30,""))))</f>
        <v/>
      </c>
      <c r="AL25" s="162" t="str">
        <f>IF(AK9&lt;2,"",IF(AK8&lt;6,"",IF(Q24=2,Q30-S30,IF(S24=2,S30-Q30,""))))</f>
        <v/>
      </c>
      <c r="AM25" s="162" t="str">
        <f>IF(AK9&lt;2,"",IF(AK8&lt;7,"",IF(T24=2,T30-V30,IF(V24=2,V30-T30,""))))</f>
        <v/>
      </c>
      <c r="AN25" s="162" t="str">
        <f>IF(AK9&lt;2,"",IF(AK8&lt;8,"",IF(W24=2,W30-Y30,IF(Y24=2,Y30-W30,""))))</f>
        <v/>
      </c>
      <c r="AO25" s="162" t="str">
        <f>IF(AK9&lt;2,"",IF(AK8&lt;9,"",IF(Z24=2,Z30-AB30,IF(AB24=2,AB30-Z30,""))))</f>
        <v/>
      </c>
      <c r="AP25" s="162" t="str">
        <f>IF(AK9&lt;2,"",IF(AK8&lt;10,"",IF(AC24=2,AC30-AE30,IF(AE24=2,AE30-AC30,""))))</f>
        <v/>
      </c>
      <c r="AQ25" s="161">
        <f>SUM(AG25:AP25)</f>
        <v>27</v>
      </c>
      <c r="AS25" s="132"/>
      <c r="AT25" s="509"/>
      <c r="AU25" s="509"/>
      <c r="AV25" s="509"/>
      <c r="AW25" s="508"/>
    </row>
    <row r="26" spans="1:51" ht="15">
      <c r="A26" s="46" t="str">
        <f>IF(AK7&gt;1,"Game 2","")</f>
        <v>Game 2</v>
      </c>
      <c r="B26" s="112">
        <v>10</v>
      </c>
      <c r="C26" s="113" t="s">
        <v>37</v>
      </c>
      <c r="D26" s="114">
        <v>27</v>
      </c>
      <c r="E26" s="112">
        <v>12</v>
      </c>
      <c r="F26" s="113" t="str">
        <f>IF(AK8&gt;1,IF(AK7&gt;1,"/",""),"")</f>
        <v>/</v>
      </c>
      <c r="G26" s="114">
        <v>20</v>
      </c>
      <c r="H26" s="112">
        <v>20</v>
      </c>
      <c r="I26" s="113" t="str">
        <f>IF(AK8&gt;2,IF(AK7&gt;1,"/",""),"")</f>
        <v>/</v>
      </c>
      <c r="J26" s="114">
        <v>14</v>
      </c>
      <c r="K26" s="112"/>
      <c r="L26" s="113" t="str">
        <f>IF(AK8&gt;3,IF(AK7&gt;1,"/",""),"")</f>
        <v/>
      </c>
      <c r="M26" s="114"/>
      <c r="N26" s="112"/>
      <c r="O26" s="113" t="str">
        <f>IF(AK8&gt;4,IF(AK7&gt;1,"/",""),"")</f>
        <v/>
      </c>
      <c r="P26" s="114"/>
      <c r="Q26" s="112"/>
      <c r="R26" s="113" t="str">
        <f>IF(AK8&gt;5,IF(AK7&gt;1,"/",""),"")</f>
        <v/>
      </c>
      <c r="S26" s="114"/>
      <c r="T26" s="112"/>
      <c r="U26" s="113" t="str">
        <f>IF(AK8&gt;6,IF(AK7&gt;1,"/",""),"")</f>
        <v/>
      </c>
      <c r="V26" s="114"/>
      <c r="W26" s="112"/>
      <c r="X26" s="113" t="str">
        <f>IF(AK8&gt;7,IF(AK7&gt;1,"/",""),"")</f>
        <v/>
      </c>
      <c r="Y26" s="114"/>
      <c r="Z26" s="112"/>
      <c r="AA26" s="113" t="str">
        <f>IF(AK8&gt;8,IF(AK7&gt;1,"/",""),"")</f>
        <v/>
      </c>
      <c r="AB26" s="114"/>
      <c r="AC26" s="112"/>
      <c r="AD26" s="113" t="str">
        <f>IF(AK8&gt;9,IF(AK7&gt;1,"/",""),"")</f>
        <v/>
      </c>
      <c r="AE26" s="114"/>
      <c r="AF26" s="160" t="str">
        <f>IF(AK9&gt;2,"Team 3","")</f>
        <v>Team 3</v>
      </c>
      <c r="AG26" s="162" t="str">
        <f>IF(AK9&lt;3,"",IF(AK8&lt;1,"",IF(B24=3,B30-D30,IF(D24=3,D30-B30,""))))</f>
        <v/>
      </c>
      <c r="AH26" s="162">
        <f>IF(AK9&lt;3,"",IF(AK8&lt;2,"",IF(E24=3,E30-G30,IF(G24=3,G30-E30,""))))</f>
        <v>1</v>
      </c>
      <c r="AI26" s="162">
        <f>IF(AK9&lt;3,"",IF(AK8&lt;3,"",IF(H24=3,H30-J30,IF(J24=3,J30-H30,""))))</f>
        <v>11</v>
      </c>
      <c r="AJ26" s="162" t="str">
        <f>IF(AK9&lt;3,"",IF(AK8&lt;4,"",IF(K24=3,K30-M30,IF(M24=3,M30-K30,""))))</f>
        <v/>
      </c>
      <c r="AK26" s="162" t="str">
        <f>IF(AK9&lt;3,"",IF(AK8&lt;5,"",IF(N24=3,N30-P30,IF(P24=3,P30-N30,""))))</f>
        <v/>
      </c>
      <c r="AL26" s="162" t="str">
        <f>IF(AK9&lt;3,"",IF(AK8&lt;6,"",IF(Q24=3,Q30-S30,IF(S24=3,S30-Q30,""))))</f>
        <v/>
      </c>
      <c r="AM26" s="162" t="str">
        <f>IF(AK9&lt;3,"",IF(AK8&lt;7,"",IF(T24=3,T30-V30,IF(V24=3,V30-T30,""))))</f>
        <v/>
      </c>
      <c r="AN26" s="162" t="str">
        <f>IF(AK9&lt;3,"",IF(AK8&lt;8,"",IF(W24=3,W30-Y30,IF(Y24=3,Y30-W30,""))))</f>
        <v/>
      </c>
      <c r="AO26" s="162" t="str">
        <f>IF(AK9&lt;3,"",IF(AK8&lt;9,"",IF(Z24=3,Z30-AB30,IF(AB24=3,AB30-Z30,""))))</f>
        <v/>
      </c>
      <c r="AP26" s="162" t="str">
        <f>IF(AK9&lt;3,"",IF(AK8&lt;9,"",IF(AC24=3,AC30-AE30,IF(AE24=3,AE30-AC30,""))))</f>
        <v/>
      </c>
      <c r="AQ26" s="161">
        <f>SUM(AG26:AP26)</f>
        <v>12</v>
      </c>
      <c r="AS26" s="132"/>
      <c r="AT26" s="509"/>
      <c r="AU26" s="509"/>
      <c r="AV26" s="509"/>
      <c r="AW26" s="508"/>
    </row>
    <row r="27" spans="1:51" ht="15" hidden="1">
      <c r="A27" s="46" t="str">
        <f>IF(AK7&gt;2,"Game 3","")</f>
        <v/>
      </c>
      <c r="B27" s="112"/>
      <c r="C27" s="113" t="s">
        <v>37</v>
      </c>
      <c r="D27" s="114"/>
      <c r="E27" s="112"/>
      <c r="F27" s="113" t="str">
        <f>IF(AK8&gt;1,IF(AK7&gt;2,"/",""),"")</f>
        <v/>
      </c>
      <c r="G27" s="114"/>
      <c r="H27" s="112"/>
      <c r="I27" s="113" t="str">
        <f>IF(AK8&gt;2,IF(AK7&gt;2,"/",""),"")</f>
        <v/>
      </c>
      <c r="J27" s="114"/>
      <c r="K27" s="112"/>
      <c r="L27" s="113" t="str">
        <f>IF(AK8&gt;3,IF(AK7&gt;2,"/",""),"")</f>
        <v/>
      </c>
      <c r="M27" s="114"/>
      <c r="N27" s="112"/>
      <c r="O27" s="113" t="str">
        <f>IF(AK8&gt;4,IF(AK7&gt;2,"/",""),"")</f>
        <v/>
      </c>
      <c r="P27" s="114"/>
      <c r="Q27" s="112"/>
      <c r="R27" s="113" t="str">
        <f>IF(AK8&gt;5,IF(AK7&gt;2,"/",""),"")</f>
        <v/>
      </c>
      <c r="S27" s="114"/>
      <c r="T27" s="112"/>
      <c r="U27" s="113" t="str">
        <f>IF(AK8&gt;6,IF(AK7&gt;2,"/",""),"")</f>
        <v/>
      </c>
      <c r="V27" s="114"/>
      <c r="W27" s="112"/>
      <c r="X27" s="113" t="str">
        <f>IF(AK8&gt;7,IF(AK7&gt;2,"/",""),"")</f>
        <v/>
      </c>
      <c r="Y27" s="114"/>
      <c r="Z27" s="112"/>
      <c r="AA27" s="113" t="str">
        <f>IF(AK8&gt;8,IF(AK7&gt;2,"/",""),"")</f>
        <v/>
      </c>
      <c r="AB27" s="114"/>
      <c r="AC27" s="112"/>
      <c r="AD27" s="113" t="str">
        <f>IF(AK8&gt;9,IF(AK7&gt;2,"/",""),"")</f>
        <v/>
      </c>
      <c r="AE27" s="114"/>
      <c r="AF27" s="160" t="str">
        <f>IF(AK9&gt;3,"Team 4","")</f>
        <v/>
      </c>
      <c r="AG27" s="162" t="str">
        <f>IF(AK9&lt;4,"",IF(AK8&lt;1,"",IF(B24=4,B30-D30,IF(D24=4,D30-B30,""))))</f>
        <v/>
      </c>
      <c r="AH27" s="162" t="str">
        <f>IF(AK9&lt;4,"",IF(AK8&lt;2,"",IF(E24=4,E30-G30,IF(G24=4,G30-E30,""))))</f>
        <v/>
      </c>
      <c r="AI27" s="162" t="str">
        <f>IF(AK9&lt;4,"",IF(AK8&lt;3,"",IF(H24=4,H30-J30,IF(J24=4,J30-H30,""))))</f>
        <v/>
      </c>
      <c r="AJ27" s="162" t="str">
        <f>IF(AK9&lt;4,"",IF(AK8&lt;4,"",IF(K24=4,K30-M30,IF(M24=4,M30-K30,""))))</f>
        <v/>
      </c>
      <c r="AK27" s="162" t="str">
        <f>IF(AK9&lt;4,"",IF(AK8&lt;5,"",IF(N24=4,N30-P30,IF(P24=4,P30-N30,""))))</f>
        <v/>
      </c>
      <c r="AL27" s="162" t="str">
        <f>IF(AK9&lt;4,"",IF(AK8&lt;6,"",IF(Q24=4,Q30-S30,IF(S24=4,S30-Q30,""))))</f>
        <v/>
      </c>
      <c r="AM27" s="162" t="str">
        <f>IF(AK9&lt;4,"",IF(AK8&lt;7,"",IF(T24=4,T30-V30,IF(V24=4,V30-T30,""))))</f>
        <v/>
      </c>
      <c r="AN27" s="162" t="str">
        <f>IF(AK9&lt;4,"",IF(AK8&lt;8,"",IF(W24=4,W30-Y30,IF(Y24=4,Y30-W30,""))))</f>
        <v/>
      </c>
      <c r="AO27" s="162" t="str">
        <f>IF(AK9&lt;4,"",IF(AK8&lt;9,"",IF(Z24=4,Z30-AB30,IF(AB24=4,AB30-Z30,""))))</f>
        <v/>
      </c>
      <c r="AP27" s="162" t="str">
        <f>IF(AK9&lt;4,"",IF(AK8&lt;10,"",IF(AC24=4,AC30-AE30,IF(AE24=4,AE30-AC30,""))))</f>
        <v/>
      </c>
      <c r="AQ27" s="161">
        <f>SUM(AG27:AP27)</f>
        <v>0</v>
      </c>
      <c r="AW27" s="508"/>
    </row>
    <row r="28" spans="1:51" ht="15" hidden="1">
      <c r="A28" s="46" t="str">
        <f>IF(AK7&gt;3,"Game 4","")</f>
        <v/>
      </c>
      <c r="B28" s="112"/>
      <c r="C28" s="113" t="s">
        <v>37</v>
      </c>
      <c r="D28" s="114"/>
      <c r="E28" s="112"/>
      <c r="F28" s="113" t="str">
        <f>IF(AK8&gt;1,IF(AK7&gt;3,"/",""),"")</f>
        <v/>
      </c>
      <c r="G28" s="114"/>
      <c r="H28" s="112"/>
      <c r="I28" s="113" t="str">
        <f>IF(AK8&gt;2,IF(AK7&gt;3,"/",""),"")</f>
        <v/>
      </c>
      <c r="J28" s="114"/>
      <c r="K28" s="112"/>
      <c r="L28" s="113" t="str">
        <f>IF(AK8&gt;3,IF(AK7&gt;3,"/",""),"")</f>
        <v/>
      </c>
      <c r="M28" s="114"/>
      <c r="N28" s="112"/>
      <c r="O28" s="113" t="str">
        <f>IF(AK8&gt;4,IF(AK7&gt;3,"/",""),"")</f>
        <v/>
      </c>
      <c r="P28" s="114"/>
      <c r="Q28" s="112"/>
      <c r="R28" s="113" t="str">
        <f>IF(AK8&gt;5,IF(AK7&gt;3,"/",""),"")</f>
        <v/>
      </c>
      <c r="S28" s="114"/>
      <c r="T28" s="112"/>
      <c r="U28" s="113" t="str">
        <f>IF(AK8&gt;6,IF(AK7&gt;3,"/",""),"")</f>
        <v/>
      </c>
      <c r="V28" s="114"/>
      <c r="W28" s="112"/>
      <c r="X28" s="113" t="str">
        <f>IF(AK8&gt;7,IF(AK7&gt;3,"/",""),"")</f>
        <v/>
      </c>
      <c r="Y28" s="114"/>
      <c r="Z28" s="112"/>
      <c r="AA28" s="113" t="str">
        <f>IF(AK8&gt;8,IF(AK7&gt;3,"/",""),"")</f>
        <v/>
      </c>
      <c r="AB28" s="114"/>
      <c r="AC28" s="112"/>
      <c r="AD28" s="113" t="str">
        <f>IF(AK8&gt;9,IF(AK7&gt;3,"/",""),"")</f>
        <v/>
      </c>
      <c r="AE28" s="114"/>
      <c r="AF28" s="160" t="str">
        <f>IF(AK9&gt;4,"Team 5","")</f>
        <v/>
      </c>
      <c r="AG28" s="163" t="str">
        <f>IF(AK9&lt;5,"",IF(AK8&lt;1,"",IF(B24=5,B30-D30,IF(D24=5,D30-B30,""))))</f>
        <v/>
      </c>
      <c r="AH28" s="162" t="str">
        <f>IF(AK9&lt;5,"",IF(AK8&lt;2,"",IF(E24=5,E30-G30,IF(G24=5,G30-E30,""))))</f>
        <v/>
      </c>
      <c r="AI28" s="162" t="str">
        <f>IF(AK9&lt;5,"",IF(AK8&lt;3,"",IF(H24=5,H30-J30,IF(J24=5,J30-H30,""))))</f>
        <v/>
      </c>
      <c r="AJ28" s="162" t="str">
        <f>IF(AK9&lt;5,"",IF(AK8&lt;4,"",IF(K24=5,K30-M30,IF(M24=5,M30-K30,""))))</f>
        <v/>
      </c>
      <c r="AK28" s="162" t="str">
        <f>IF(AK9&lt;5,"",IF(AK8&lt;5,"",IF(N24=5,N30-P30,IF(P24=5,P30-N30,""))))</f>
        <v/>
      </c>
      <c r="AL28" s="162" t="str">
        <f>IF(AK9&lt;5,"",IF(AK8&lt;6,"",IF(Q24=5,Q30-S30,IF(S24=5,S30-Q30,""))))</f>
        <v/>
      </c>
      <c r="AM28" s="162" t="str">
        <f>IF(AK9&lt;5,"",IF(AK8&lt;7,"",IF(T24=5,T30-V30,IF(V24=5,V30-T30,""))))</f>
        <v/>
      </c>
      <c r="AN28" s="162" t="str">
        <f>IF(AK9&lt;5,"",IF(AK8&lt;8,"",IF(W24=5,W30-Y30,IF(Y24=5,Y30-W30,""))))</f>
        <v/>
      </c>
      <c r="AO28" s="162" t="str">
        <f>IF(AK9&lt;5,"",IF(AK8&lt;9,"",IF(Z24=5,Z30-AB30,IF(AB24=5,AB30-Z30,""))))</f>
        <v/>
      </c>
      <c r="AP28" s="162" t="str">
        <f>IF(AK9&lt;5,"",IF(AK8&lt;10,"",IF(AC24=5,AC30-AE30,IF(AE24=5,AE30-AC30,""))))</f>
        <v/>
      </c>
      <c r="AQ28" s="161">
        <f>SUM(AG28:AP28)</f>
        <v>0</v>
      </c>
      <c r="AW28" s="509"/>
      <c r="AX28" s="509"/>
      <c r="AY28" s="509"/>
    </row>
    <row r="29" spans="1:51" ht="15">
      <c r="A29" s="46" t="str">
        <f>IF(AK7&gt;4,"Game 5","")</f>
        <v/>
      </c>
      <c r="B29" s="112"/>
      <c r="C29" s="113" t="s">
        <v>37</v>
      </c>
      <c r="D29" s="114"/>
      <c r="E29" s="112"/>
      <c r="F29" s="113" t="str">
        <f>IF(AK8&gt;1,IF(AK7&gt;4,"/",""),"")</f>
        <v/>
      </c>
      <c r="G29" s="114"/>
      <c r="H29" s="112"/>
      <c r="I29" s="113" t="str">
        <f>IF(AK8&gt;2,IF(AK7&gt;4,"/",""),"")</f>
        <v/>
      </c>
      <c r="J29" s="114"/>
      <c r="K29" s="112"/>
      <c r="L29" s="113" t="str">
        <f>IF(AK8&gt;3,IF(AK7&gt;4,"/",""),"")</f>
        <v/>
      </c>
      <c r="M29" s="114"/>
      <c r="N29" s="112"/>
      <c r="O29" s="113" t="str">
        <f>IF(AK8&gt;4,IF(AK7&gt;4,"/",""),"")</f>
        <v/>
      </c>
      <c r="P29" s="114"/>
      <c r="Q29" s="112"/>
      <c r="R29" s="113" t="str">
        <f>IF(AK8&gt;5,IF(AK7&gt;4,"/",""),"")</f>
        <v/>
      </c>
      <c r="S29" s="114"/>
      <c r="T29" s="112"/>
      <c r="U29" s="113" t="str">
        <f>IF(AK8&gt;6,IF(AK7&gt;4,"/",""),"")</f>
        <v/>
      </c>
      <c r="V29" s="114"/>
      <c r="W29" s="112"/>
      <c r="X29" s="113" t="str">
        <f>IF(AK8&gt;7,IF(AK7&gt;4,"/",""),"")</f>
        <v/>
      </c>
      <c r="Y29" s="114"/>
      <c r="Z29" s="112"/>
      <c r="AA29" s="113" t="str">
        <f>IF(AK8&gt;8,IF(AK7&gt;4,"/",""),"")</f>
        <v/>
      </c>
      <c r="AB29" s="114"/>
      <c r="AC29" s="112"/>
      <c r="AD29" s="113" t="str">
        <f>IF(AK8&gt;9,IF(AK7&gt;4,"/",""),"")</f>
        <v/>
      </c>
      <c r="AE29" s="114"/>
      <c r="AF29" s="1"/>
      <c r="AG29" s="1"/>
      <c r="AH29" s="1"/>
      <c r="AI29" s="1"/>
      <c r="AJ29" s="1"/>
      <c r="AK29" s="1"/>
      <c r="AL29" s="1"/>
      <c r="AM29" s="1"/>
      <c r="AN29" s="1"/>
      <c r="AO29" s="1"/>
      <c r="AP29" s="1"/>
      <c r="AQ29" s="1"/>
      <c r="AW29" s="509"/>
      <c r="AX29" s="509"/>
      <c r="AY29" s="509"/>
    </row>
    <row r="30" spans="1:51" hidden="1">
      <c r="A30" s="116"/>
      <c r="B30" s="116">
        <f>IF($AK7=5,SUM(B25:B29),IF($AK7=4,SUM(B25:B28),IF($AK7=3,SUM(B25:B27),IF($AK7=2,SUM(B25:B26),B25))))</f>
        <v>23</v>
      </c>
      <c r="C30" s="116"/>
      <c r="D30" s="116">
        <f>IF($AK7=5,SUM(D25:D29),IF($AK7=4,SUM(D25:D28),IF($AK7=3,SUM(D25:D27),IF($AK7=2,SUM(D25:D26),D25))))</f>
        <v>51</v>
      </c>
      <c r="E30" s="116">
        <f>IF($AK7=5,SUM(E25:E29),IF($AK7=4,SUM(E25:E28),IF($AK7=3,SUM(E25:E27),IF($AK7=2,SUM(E25:E26),E25))))</f>
        <v>33</v>
      </c>
      <c r="F30" s="116"/>
      <c r="G30" s="116">
        <f>IF($AK7=5,SUM(G25:G29),IF($AK7=4,SUM(G25:G28),IF($AK7=3,SUM(G25:G27),IF($AK7=2,SUM(G25:G26),G25))))</f>
        <v>34</v>
      </c>
      <c r="H30" s="116">
        <f>IF($AK7=5,SUM(H25:H29),IF($AK7=4,SUM(H25:H28),IF($AK7=3,SUM(H25:H27),IF($AK7=2,SUM(H25:H26),H25))))</f>
        <v>30</v>
      </c>
      <c r="I30" s="116"/>
      <c r="J30" s="116">
        <f>IF($AK7=5,SUM(J25:J29),IF($AK7=4,SUM(J25:J28),IF($AK7=3,SUM(J25:J27),IF($AK7=2,SUM(J25:J26),J25))))</f>
        <v>41</v>
      </c>
      <c r="K30" s="116">
        <f>IF($AK7=5,SUM(K25:K29),IF($AK7=4,SUM(K25:K28),IF($AK7=3,SUM(K25:K27),IF($AK7=2,SUM(K25:K26),K25))))</f>
        <v>0</v>
      </c>
      <c r="L30" s="116"/>
      <c r="M30" s="116">
        <f>IF($AK7=5,SUM(M25:M29),IF($AK7=4,SUM(M25:M28),IF($AK7=3,SUM(M25:M27),IF($AK7=2,SUM(M25:M26),M25))))</f>
        <v>0</v>
      </c>
      <c r="N30" s="116">
        <f>IF($AK7=5,SUM(N25:N29),IF($AK7=4,SUM(N25:N28),IF($AK7=3,SUM(N25:N27),IF($AK7=2,SUM(N25:N26),N25))))</f>
        <v>0</v>
      </c>
      <c r="O30" s="116"/>
      <c r="P30" s="116">
        <f>IF($AK7=5,SUM(P25:P29),IF($AK7=4,SUM(P25:P28),IF($AK7=3,SUM(P25:P27),IF($AK7=2,SUM(P25:P26),P25))))</f>
        <v>0</v>
      </c>
      <c r="Q30" s="116">
        <f>IF($AK7=5,SUM(Q25:Q29),IF($AK7=4,SUM(Q25:Q28),IF($AK7=3,SUM(Q25:Q27),IF($AK7=2,SUM(Q25:Q26),Q25))))</f>
        <v>0</v>
      </c>
      <c r="R30" s="116"/>
      <c r="S30" s="116">
        <f>IF($AK7=5,SUM(S25:S29),IF($AK7=4,SUM(S25:S28),IF($AK7=3,SUM(S25:S27),IF($AK7=2,SUM(S25:S26),S25))))</f>
        <v>0</v>
      </c>
      <c r="T30" s="116">
        <f>IF($AK7=5,SUM(T25:T29),IF($AK7=4,SUM(T25:T28),IF($AK7=3,SUM(T25:T27),IF($AK7=2,SUM(T25:T26),T25))))</f>
        <v>0</v>
      </c>
      <c r="U30" s="116"/>
      <c r="V30" s="116">
        <f>IF($AK7=5,SUM(V25:V29),IF($AK7=4,SUM(V25:V28),IF($AK7=3,SUM(V25:V27),IF($AK7=2,SUM(V25:V26),V25))))</f>
        <v>0</v>
      </c>
      <c r="W30" s="116">
        <f>IF($AK7=5,SUM(W25:W29),IF($AK7=4,SUM(W25:W28),IF($AK7=3,SUM(W25:W27),IF($AK7=2,SUM(W25:W26),W25))))</f>
        <v>0</v>
      </c>
      <c r="X30" s="116"/>
      <c r="Y30" s="116">
        <f>IF($AK7=5,SUM(Y25:Y29),IF($AK7=4,SUM(Y25:Y28),IF($AK7=3,SUM(Y25:Y27),IF($AK7=2,SUM(Y25:Y26),Y25))))</f>
        <v>0</v>
      </c>
      <c r="Z30" s="116">
        <f>IF($AK7=5,SUM(Z25:Z29),IF($AK7=4,SUM(Z25:Z28),IF($AK7=3,SUM(Z25:Z27),IF($AK7=2,SUM(Z25:Z26),Z25))))</f>
        <v>0</v>
      </c>
      <c r="AA30" s="116"/>
      <c r="AB30" s="116">
        <f>IF($AK7=5,SUM(AB25:AB29),IF($AK7=4,SUM(AB25:AB28),IF($AK7=3,SUM(AB25:AB27),IF($AK7=2,SUM(AB25:AB26),AB25))))</f>
        <v>0</v>
      </c>
      <c r="AC30" s="116">
        <f>IF($AK7=5,SUM(AC25:AC29),IF($AK7=4,SUM(AC25:AC28),IF($AK7=3,SUM(AC25:AC27),IF($AK7=2,SUM(AC25:AC26),AC25))))</f>
        <v>0</v>
      </c>
      <c r="AD30" s="116"/>
      <c r="AE30" s="116">
        <f>IF($AK7=5,SUM(AE25:AE29),IF($AK7=4,SUM(AE25:AE28),IF($AK7=3,SUM(AE25:AE27),IF($AK7=2,SUM(AE25:AE26),AE25))))</f>
        <v>0</v>
      </c>
      <c r="AF30" s="1"/>
      <c r="AG30" s="1"/>
      <c r="AH30" s="1"/>
      <c r="AI30" s="1"/>
      <c r="AJ30" s="1"/>
      <c r="AK30" s="1"/>
      <c r="AL30" s="1"/>
      <c r="AM30" s="1"/>
      <c r="AN30" s="1"/>
      <c r="AO30" s="1"/>
      <c r="AP30" s="1"/>
      <c r="AQ30" s="1"/>
    </row>
    <row r="31" spans="1:51" s="115" customFormat="1" ht="12.75" hidden="1" customHeight="1">
      <c r="A31" s="115" t="s">
        <v>201</v>
      </c>
      <c r="B31" s="164">
        <f>IF(AND(B25&gt;D25,$AK8&gt;0,ISNUMBER(B25),ISNUMBER(D25)),1,0)</f>
        <v>0</v>
      </c>
      <c r="C31" s="164"/>
      <c r="D31" s="165">
        <f>IF(AND(D25&gt;B25,$AK8&gt;0,ISNUMBER(B25),ISNUMBER(D25)),1,0)</f>
        <v>1</v>
      </c>
      <c r="E31" s="164">
        <f>IF(AND(E25&gt;G25,$AK8&gt;1,ISNUMBER(E25),ISNUMBER(G25)),1,0)</f>
        <v>1</v>
      </c>
      <c r="F31" s="164"/>
      <c r="G31" s="165">
        <f>IF(AND(G25&gt;E25,$AK8&gt;1,ISNUMBER(E25),ISNUMBER(G25)),1,0)</f>
        <v>0</v>
      </c>
      <c r="H31" s="164">
        <f>IF(AND(H25&gt;J25,$AK8&gt;2,ISNUMBER(H25),ISNUMBER(J25)),1,0)</f>
        <v>0</v>
      </c>
      <c r="I31" s="164"/>
      <c r="J31" s="165">
        <f>IF(AND(J25&gt;H25,$AK8&gt;2,ISNUMBER(H25),ISNUMBER(J25)),1,0)</f>
        <v>1</v>
      </c>
      <c r="K31" s="164">
        <f>IF(AND(K25&gt;M25,$AK8&gt;3,ISNUMBER(K25),ISNUMBER(M25)),1,0)</f>
        <v>0</v>
      </c>
      <c r="L31" s="164"/>
      <c r="M31" s="165">
        <f>IF(AND(M25&gt;K25,$AK8&gt;3,ISNUMBER(K25),ISNUMBER(M25)),1,0)</f>
        <v>0</v>
      </c>
      <c r="N31" s="164">
        <f>IF(AND(N25&gt;P25,$AK8&gt;4,ISNUMBER(N25),ISNUMBER(P25)),1,0)</f>
        <v>0</v>
      </c>
      <c r="O31" s="164"/>
      <c r="P31" s="165">
        <f>IF(AND(P25&gt;N25,$AK8&gt;4,ISNUMBER(N25),ISNUMBER(P25)),1,0)</f>
        <v>0</v>
      </c>
      <c r="Q31" s="164">
        <f>IF(AND(Q25&gt;S25,$AK8&gt;5,ISNUMBER(Q25),ISNUMBER(S25)),1,0)</f>
        <v>0</v>
      </c>
      <c r="R31" s="164"/>
      <c r="S31" s="165">
        <f>IF(AND(S25&gt;Q25,$AK8&gt;5,ISNUMBER(Q25),ISNUMBER(S25)),1,0)</f>
        <v>0</v>
      </c>
      <c r="T31" s="164">
        <f>IF(AND(T25&gt;V25,$AK8&gt;6,ISNUMBER(T25),ISNUMBER(V25)),1,0)</f>
        <v>0</v>
      </c>
      <c r="U31" s="164"/>
      <c r="V31" s="165">
        <f>IF(AND(V25&gt;T25,$AK8&gt;6,ISNUMBER(T25),ISNUMBER(V25)),1,0)</f>
        <v>0</v>
      </c>
      <c r="W31" s="164">
        <f>IF(AND(W25&gt;Y25,$AK8&gt;7,ISNUMBER(W25),ISNUMBER(Y25)),1,0)</f>
        <v>0</v>
      </c>
      <c r="X31" s="164"/>
      <c r="Y31" s="165">
        <f>IF(AND(Y25&gt;W25,$AK8&gt;7,ISNUMBER(W25),ISNUMBER(Y25)),1,0)</f>
        <v>0</v>
      </c>
      <c r="Z31" s="164">
        <f>IF(AND(Z25&gt;AB25,$AK8&gt;8,ISNUMBER(Z25),ISNUMBER(AB25)),1,0)</f>
        <v>0</v>
      </c>
      <c r="AA31" s="164"/>
      <c r="AB31" s="165">
        <f>IF(AND(AB25&gt;Z25,$AK8&gt;8,ISNUMBER(Z25),ISNUMBER(AB25)),1,0)</f>
        <v>0</v>
      </c>
      <c r="AC31" s="164">
        <f>IF(AND(AC25&gt;AE25,$AK8&gt;9,ISNUMBER(AC25),ISNUMBER(AE25)),1,0)</f>
        <v>0</v>
      </c>
      <c r="AD31" s="164"/>
      <c r="AE31" s="165">
        <f>IF(AND(AE25&gt;AC25,$AK8&gt;9,ISNUMBER(AC25),ISNUMBER(AE25)),1,0)</f>
        <v>0</v>
      </c>
      <c r="AT31" s="513"/>
      <c r="AU31" s="513"/>
      <c r="AV31" s="513"/>
      <c r="AW31" s="514"/>
      <c r="AX31" s="513"/>
      <c r="AY31" s="513"/>
    </row>
    <row r="32" spans="1:51" s="115" customFormat="1" ht="12.75" hidden="1" customHeight="1">
      <c r="A32" s="115" t="s">
        <v>202</v>
      </c>
      <c r="B32" s="164">
        <f>IF(AND(B26&gt;D26,$AK8&gt;0,$AK7&gt;1,ISNUMBER(B26),ISNUMBER(D26)),1,0)</f>
        <v>0</v>
      </c>
      <c r="C32" s="164"/>
      <c r="D32" s="165">
        <f>IF(AND(D26&gt;B26,$AK8&gt;0,$AK7&gt;1,ISNUMBER(B26),ISNUMBER(D26)),1,0)</f>
        <v>1</v>
      </c>
      <c r="E32" s="164">
        <f>IF(AND(E26&gt;G26,$AK8&gt;1,$AK7&gt;1,ISNUMBER(E26),ISNUMBER(G26)),1,0)</f>
        <v>0</v>
      </c>
      <c r="F32" s="164"/>
      <c r="G32" s="165">
        <f>IF(AND(G26&gt;E26,$AK8&gt;1,$AK7&gt;1,ISNUMBER(E26),ISNUMBER(G26)),1,0)</f>
        <v>1</v>
      </c>
      <c r="H32" s="164">
        <f>IF(AND(H26&gt;J26,$AK8&gt;2,$AK7&gt;1,ISNUMBER(H26),ISNUMBER(J26)),1,0)</f>
        <v>1</v>
      </c>
      <c r="I32" s="164"/>
      <c r="J32" s="165">
        <f>IF(AND(J26&gt;H26,$AK8&gt;2,$AK7&gt;1,ISNUMBER(H26),ISNUMBER(J26)),1,0)</f>
        <v>0</v>
      </c>
      <c r="K32" s="164">
        <f>IF(AND(K26&gt;M26,$AK8&gt;3,$AK7&gt;1,ISNUMBER(K26),ISNUMBER(M26)),1,0)</f>
        <v>0</v>
      </c>
      <c r="L32" s="164"/>
      <c r="M32" s="165">
        <f>IF(AND(M26&gt;K26,$AK8&gt;3,$AK7&gt;1,ISNUMBER(K26),ISNUMBER(M26)),1,0)</f>
        <v>0</v>
      </c>
      <c r="N32" s="164">
        <f>IF(AND(N26&gt;P26,$AK8&gt;4,$AK7&gt;1,ISNUMBER(N26),ISNUMBER(P26)),1,0)</f>
        <v>0</v>
      </c>
      <c r="O32" s="164"/>
      <c r="P32" s="165">
        <f>IF(AND(P26&gt;N26,$AK8&gt;4,$AK7&gt;1,ISNUMBER(N26),ISNUMBER(P26)),1,0)</f>
        <v>0</v>
      </c>
      <c r="Q32" s="164">
        <f>IF(AND(Q26&gt;S26,$AK8&gt;5,$AK7&gt;1,ISNUMBER(Q26),ISNUMBER(S26)),1,0)</f>
        <v>0</v>
      </c>
      <c r="R32" s="164"/>
      <c r="S32" s="165">
        <f>IF(AND(S26&gt;Q26,$AK8&gt;5,$AK7&gt;1,ISNUMBER(Q26),ISNUMBER(S26)),1,0)</f>
        <v>0</v>
      </c>
      <c r="T32" s="164">
        <f>IF(AND(T26&gt;V26,$AK8&gt;6,$AK7&gt;1,ISNUMBER(T26),ISNUMBER(V26)),1,0)</f>
        <v>0</v>
      </c>
      <c r="U32" s="164"/>
      <c r="V32" s="165">
        <f>IF(AND(V26&gt;T26,$AK8&gt;6,$AK7&gt;1,ISNUMBER(T26),ISNUMBER(V26)),1,0)</f>
        <v>0</v>
      </c>
      <c r="W32" s="164">
        <f>IF(AND(W26&gt;Y26,$AK8&gt;7,$AK7&gt;1,ISNUMBER(W26),ISNUMBER(Y26)),1,0)</f>
        <v>0</v>
      </c>
      <c r="X32" s="164"/>
      <c r="Y32" s="165">
        <f>IF(AND(Y26&gt;W26,$AK8&gt;7,$AK7&gt;1,ISNUMBER(W26),ISNUMBER(Y26)),1,0)</f>
        <v>0</v>
      </c>
      <c r="Z32" s="164">
        <f>IF(AND(Z26&gt;AB26,$AK8&gt;8,$AK7&gt;1,ISNUMBER(Z26),ISNUMBER(AB26)),1,0)</f>
        <v>0</v>
      </c>
      <c r="AA32" s="164"/>
      <c r="AB32" s="165">
        <f>IF(AND(AB26&gt;Z26,$AK8&gt;8,$AK7&gt;1,ISNUMBER(Z26),ISNUMBER(AB26)),1,0)</f>
        <v>0</v>
      </c>
      <c r="AC32" s="164">
        <f>IF(AND(AC26&gt;AE26,$AK8&gt;9,$AK7&gt;1,ISNUMBER(AC26),ISNUMBER(AE26)),1,0)</f>
        <v>0</v>
      </c>
      <c r="AD32" s="164"/>
      <c r="AE32" s="165">
        <f>IF(AND(AE26&gt;AC26,$AK8&gt;9,$AK7&gt;1,ISNUMBER(AC26),ISNUMBER(AE26)),1,0)</f>
        <v>0</v>
      </c>
      <c r="AT32" s="513"/>
      <c r="AU32" s="513"/>
      <c r="AV32" s="513"/>
      <c r="AW32" s="514"/>
      <c r="AX32" s="513"/>
      <c r="AY32" s="513"/>
    </row>
    <row r="33" spans="1:51" s="115" customFormat="1" ht="12.75" hidden="1" customHeight="1">
      <c r="A33" s="115" t="s">
        <v>203</v>
      </c>
      <c r="B33" s="164">
        <f>IF(AND(B27&gt;D27,$AK8&gt;0,$AK7&gt;2,ISNUMBER(B27),ISNUMBER(D27)),1,0)</f>
        <v>0</v>
      </c>
      <c r="C33" s="164"/>
      <c r="D33" s="165">
        <f>IF(AND(D27&gt;B27,$AK8&gt;0,$AK7&gt;2,ISNUMBER(B27),ISNUMBER(D27)),1,0)</f>
        <v>0</v>
      </c>
      <c r="E33" s="164">
        <f>IF(AND(E27&gt;G27,$AK8&gt;1,$AK7&gt;2,ISNUMBER(E27),ISNUMBER(G27)),1,0)</f>
        <v>0</v>
      </c>
      <c r="F33" s="164"/>
      <c r="G33" s="165">
        <f>IF(AND(G27&gt;E27,$AK8&gt;1,$AK7&gt;2,ISNUMBER(E27),ISNUMBER(G27)),1,0)</f>
        <v>0</v>
      </c>
      <c r="H33" s="164">
        <f>IF(AND(H27&gt;J27,$AK8&gt;2,$AK7&gt;2,ISNUMBER(H27),ISNUMBER(J27)),1,0)</f>
        <v>0</v>
      </c>
      <c r="I33" s="164"/>
      <c r="J33" s="165">
        <f>IF(AND(J27&gt;H27,$AK8&gt;2,$AK7&gt;2,ISNUMBER(H27),ISNUMBER(J27)),1,0)</f>
        <v>0</v>
      </c>
      <c r="K33" s="164">
        <f>IF(AND(K27&gt;M27,$AK8&gt;3,$AK7&gt;2,ISNUMBER(K27),ISNUMBER(M27)),1,0)</f>
        <v>0</v>
      </c>
      <c r="L33" s="164"/>
      <c r="M33" s="165">
        <f>IF(AND(M27&gt;K27,$AK8&gt;3,$AK7&gt;2,ISNUMBER(K27),ISNUMBER(M27)),1,0)</f>
        <v>0</v>
      </c>
      <c r="N33" s="164">
        <f>IF(AND(N27&gt;P27,$AK8&gt;4,$AK7&gt;2,ISNUMBER(N27),ISNUMBER(P27)),1,0)</f>
        <v>0</v>
      </c>
      <c r="O33" s="164"/>
      <c r="P33" s="165">
        <f>IF(AND(P27&gt;N27,$AK8&gt;4,$AK7&gt;2,ISNUMBER(N27),ISNUMBER(P27)),1,0)</f>
        <v>0</v>
      </c>
      <c r="Q33" s="164">
        <f>IF(AND(Q27&gt;S27,$AK8&gt;5,$AK7&gt;2,ISNUMBER(Q27),ISNUMBER(S27)),1,0)</f>
        <v>0</v>
      </c>
      <c r="R33" s="164"/>
      <c r="S33" s="165">
        <f>IF(AND(S27&gt;Q27,$AK8&gt;5,$AK7&gt;2,ISNUMBER(Q27),ISNUMBER(S27)),1,0)</f>
        <v>0</v>
      </c>
      <c r="T33" s="164">
        <f>IF(AND(T27&gt;V27,$AK8&gt;6,$AK7&gt;2,ISNUMBER(T27),ISNUMBER(V27)),1,0)</f>
        <v>0</v>
      </c>
      <c r="U33" s="164"/>
      <c r="V33" s="165">
        <f>IF(AND(V27&gt;T27,$AK8&gt;6,$AK7&gt;2,ISNUMBER(T27),ISNUMBER(V27)),1,0)</f>
        <v>0</v>
      </c>
      <c r="W33" s="164">
        <f>IF(AND(W27&gt;Y27,$AK8&gt;7,$AK7&gt;2,ISNUMBER(W27),ISNUMBER(Y27)),1,0)</f>
        <v>0</v>
      </c>
      <c r="X33" s="164"/>
      <c r="Y33" s="165">
        <f>IF(AND(Y27&gt;W27,$AK8&gt;7,$AK7&gt;2,ISNUMBER(W27),ISNUMBER(Y27)),1,0)</f>
        <v>0</v>
      </c>
      <c r="Z33" s="164">
        <f>IF(AND(Z27&gt;AB27,$AK8&gt;8,$AK7&gt;2,ISNUMBER(Z27),ISNUMBER(AB27)),1,0)</f>
        <v>0</v>
      </c>
      <c r="AA33" s="164"/>
      <c r="AB33" s="165">
        <f>IF(AND(AB27&gt;Z27,$AK8&gt;8,$AK7&gt;2,ISNUMBER(Z27),ISNUMBER(AB27)),1,0)</f>
        <v>0</v>
      </c>
      <c r="AC33" s="164">
        <f>IF(AND(AC27&gt;AE27,$AK8&gt;9,$AK7&gt;2,ISNUMBER(AC27),ISNUMBER(AE27)),1,0)</f>
        <v>0</v>
      </c>
      <c r="AD33" s="164"/>
      <c r="AE33" s="165">
        <f>IF(AND(AE27&gt;AC27,$AK8&gt;9,$AK7&gt;2,ISNUMBER(AC27),ISNUMBER(AE27)),1,0)</f>
        <v>0</v>
      </c>
      <c r="AT33" s="513"/>
      <c r="AU33" s="513"/>
      <c r="AV33" s="513"/>
      <c r="AW33" s="514"/>
      <c r="AX33" s="513"/>
      <c r="AY33" s="513"/>
    </row>
    <row r="34" spans="1:51" s="115" customFormat="1" ht="12.75" hidden="1" customHeight="1">
      <c r="A34" s="115" t="s">
        <v>204</v>
      </c>
      <c r="B34" s="164">
        <f>IF(AND(B28&gt;D28,$AK8&gt;0,$AK7&gt;3,ISNUMBER(B28),ISNUMBER(D28)),1,0)</f>
        <v>0</v>
      </c>
      <c r="C34" s="164"/>
      <c r="D34" s="165">
        <f>IF(AND(D28&gt;B28,$AK8&gt;0,$AK7&gt;3,ISNUMBER(B28),ISNUMBER(D28)),1,0)</f>
        <v>0</v>
      </c>
      <c r="E34" s="164">
        <f>IF(AND(E28&gt;G28,$AK8&gt;1,$AK7&gt;3,ISNUMBER(E28),ISNUMBER(G28)),1,0)</f>
        <v>0</v>
      </c>
      <c r="F34" s="164"/>
      <c r="G34" s="165">
        <f>IF(AND(G28&gt;E28,$AK8&gt;1,$AK7&gt;3,ISNUMBER(E28),ISNUMBER(G28)),1,0)</f>
        <v>0</v>
      </c>
      <c r="H34" s="164">
        <f>IF(AND(H28&gt;J28,$AK8&gt;2,$AK7&gt;3,ISNUMBER(H28),ISNUMBER(J28)),1,0)</f>
        <v>0</v>
      </c>
      <c r="I34" s="164"/>
      <c r="J34" s="165">
        <f>IF(AND(J28&gt;H28,$AK8&gt;2,$AK7&gt;3,ISNUMBER(H28),ISNUMBER(J28)),1,0)</f>
        <v>0</v>
      </c>
      <c r="K34" s="164">
        <f>IF(AND(K28&gt;M28,$AK8&gt;3,$AK7&gt;3,ISNUMBER(K28),ISNUMBER(M28)),1,0)</f>
        <v>0</v>
      </c>
      <c r="L34" s="164"/>
      <c r="M34" s="165">
        <f>IF(AND(M28&gt;K28,$AK8&gt;3,$AK7&gt;3,ISNUMBER(K28),ISNUMBER(M28)),1,0)</f>
        <v>0</v>
      </c>
      <c r="N34" s="164">
        <f>IF(AND(N28&gt;P28,$AK8&gt;4,$AK7&gt;3,ISNUMBER(N28),ISNUMBER(P28)),1,0)</f>
        <v>0</v>
      </c>
      <c r="O34" s="164"/>
      <c r="P34" s="165">
        <f>IF(AND(P28&gt;N28,$AK8&gt;4,$AK7&gt;3,ISNUMBER(N28),ISNUMBER(P28)),1,0)</f>
        <v>0</v>
      </c>
      <c r="Q34" s="164">
        <f>IF(AND(Q28&gt;S28,$AK8&gt;5,$AK7&gt;3,ISNUMBER(Q28),ISNUMBER(S28)),1,0)</f>
        <v>0</v>
      </c>
      <c r="R34" s="164"/>
      <c r="S34" s="165">
        <f>IF(AND(S28&gt;Q28,$AK8&gt;5,$AK7&gt;3,ISNUMBER(Q28),ISNUMBER(S28)),1,0)</f>
        <v>0</v>
      </c>
      <c r="T34" s="164">
        <f>IF(AND(T28&gt;V28,$AK8&gt;6,$AK7&gt;3,ISNUMBER(T28),ISNUMBER(V28)),1,0)</f>
        <v>0</v>
      </c>
      <c r="U34" s="164"/>
      <c r="V34" s="165">
        <f>IF(AND(V28&gt;T28,$AK8&gt;6,$AK7&gt;3,ISNUMBER(T28),ISNUMBER(V28)),1,0)</f>
        <v>0</v>
      </c>
      <c r="W34" s="164">
        <f>IF(AND(W28&gt;Y28,$AK8&gt;7,$AK7&gt;3,ISNUMBER(W28),ISNUMBER(Y28)),1,0)</f>
        <v>0</v>
      </c>
      <c r="X34" s="164"/>
      <c r="Y34" s="165">
        <f>IF(AND(Y28&gt;W28,$AK8&gt;7,$AK7&gt;3,ISNUMBER(W28),ISNUMBER(Y28)),1,0)</f>
        <v>0</v>
      </c>
      <c r="Z34" s="164">
        <f>IF(AND(Z28&gt;AB28,$AK8&gt;8,$AK7&gt;3,ISNUMBER(Z28),ISNUMBER(AB28)),1,0)</f>
        <v>0</v>
      </c>
      <c r="AA34" s="164"/>
      <c r="AB34" s="165">
        <f>IF(AND(AB28&gt;Z28,$AK8&gt;8,$AK7&gt;3,ISNUMBER(Z28),ISNUMBER(AB28)),1,0)</f>
        <v>0</v>
      </c>
      <c r="AC34" s="164">
        <f>IF(AND(AC28&gt;AE28,$AK8&gt;9,$AK7&gt;3,ISNUMBER(AC28),ISNUMBER(AE28)),1,0)</f>
        <v>0</v>
      </c>
      <c r="AD34" s="164"/>
      <c r="AE34" s="165">
        <f>IF(AND(AE28&gt;AC28,$AK8&gt;9,$AK7&gt;3,ISNUMBER(AC28),ISNUMBER(AE28)),1,0)</f>
        <v>0</v>
      </c>
      <c r="AT34" s="513"/>
      <c r="AU34" s="513"/>
      <c r="AV34" s="513"/>
      <c r="AW34" s="514"/>
      <c r="AX34" s="513"/>
      <c r="AY34" s="513"/>
    </row>
    <row r="35" spans="1:51" s="115" customFormat="1" ht="12.75" hidden="1" customHeight="1">
      <c r="A35" s="115" t="s">
        <v>205</v>
      </c>
      <c r="B35" s="164">
        <f>IF(AND(B29&gt;D29,$AK8&gt;0,$AK7&gt;4,ISNUMBER(B29),ISNUMBER(D29)),1,0)</f>
        <v>0</v>
      </c>
      <c r="C35" s="164"/>
      <c r="D35" s="165">
        <f>IF(AND(D29&gt;B29,$AK8&gt;0,$AK7&gt;4,ISNUMBER(B29),ISNUMBER(D29)),1,0)</f>
        <v>0</v>
      </c>
      <c r="E35" s="164">
        <f>IF(AND(E29&gt;G29,$AK8&gt;1,$AK7&gt;4,ISNUMBER(E29),ISNUMBER(G29)),1,0)</f>
        <v>0</v>
      </c>
      <c r="F35" s="164"/>
      <c r="G35" s="165">
        <f>IF(AND(G29&gt;E29,$AK8&gt;1,$AK7&gt;4,ISNUMBER(E29),ISNUMBER(G29)),1,0)</f>
        <v>0</v>
      </c>
      <c r="H35" s="164">
        <f>IF(AND(H29&gt;J29,$AK8&gt;2,$AK7&gt;4,ISNUMBER(H29),ISNUMBER(J29)),1,0)</f>
        <v>0</v>
      </c>
      <c r="I35" s="164"/>
      <c r="J35" s="165">
        <f>IF(AND(J29&gt;H29,$AK8&gt;2,$AK7&gt;4,ISNUMBER(H29),ISNUMBER(J29)),1,0)</f>
        <v>0</v>
      </c>
      <c r="K35" s="164">
        <f>IF(AND(K29&gt;M29,$AK8&gt;3,$AK7&gt;4,ISNUMBER(K29),ISNUMBER(M29)),1,0)</f>
        <v>0</v>
      </c>
      <c r="L35" s="164"/>
      <c r="M35" s="165">
        <f>IF(AND(M29&gt;K29,$AK8&gt;3,$AK7&gt;4,ISNUMBER(K29),ISNUMBER(M29)),1,0)</f>
        <v>0</v>
      </c>
      <c r="N35" s="164">
        <f>IF(AND(N29&gt;P29,$AK8&gt;4,$AK7&gt;4,ISNUMBER(N29),ISNUMBER(P29)),1,0)</f>
        <v>0</v>
      </c>
      <c r="O35" s="164"/>
      <c r="P35" s="165">
        <f>IF(AND(P29&gt;N29,$AK8&gt;4,$AK7&gt;4,ISNUMBER(N29),ISNUMBER(P29)),1,0)</f>
        <v>0</v>
      </c>
      <c r="Q35" s="164">
        <f>IF(AND(Q29&gt;S29,$AK8&gt;5,$AK7&gt;4,ISNUMBER(Q29),ISNUMBER(S29)),1,0)</f>
        <v>0</v>
      </c>
      <c r="R35" s="164"/>
      <c r="S35" s="165">
        <f>IF(AND(S29&gt;Q29,$AK8&gt;5,$AK7&gt;4,ISNUMBER(Q29),ISNUMBER(S29)),1,0)</f>
        <v>0</v>
      </c>
      <c r="T35" s="164">
        <f>IF(AND(T29&gt;V29,$AK8&gt;6,$AK7&gt;4,ISNUMBER(T29),ISNUMBER(V29)),1,0)</f>
        <v>0</v>
      </c>
      <c r="U35" s="164"/>
      <c r="V35" s="165">
        <f>IF(AND(V29&gt;T29,$AK8&gt;6,$AK7&gt;4,ISNUMBER(T29),ISNUMBER(V29)),1,0)</f>
        <v>0</v>
      </c>
      <c r="W35" s="164">
        <f>IF(AND(W29&gt;Y29,$AK8&gt;7,$AK7&gt;4,ISNUMBER(W29),ISNUMBER(Y29)),1,0)</f>
        <v>0</v>
      </c>
      <c r="X35" s="164"/>
      <c r="Y35" s="165">
        <f>IF(AND(Y29&gt;W29,$AK8&gt;7,$AK7&gt;4,ISNUMBER(W29),ISNUMBER(Y29)),1,0)</f>
        <v>0</v>
      </c>
      <c r="Z35" s="164">
        <f>IF(AND(Z29&gt;AB29,$AK8&gt;8,$AK7&gt;4,ISNUMBER(Z29),ISNUMBER(AB29)),1,0)</f>
        <v>0</v>
      </c>
      <c r="AA35" s="164"/>
      <c r="AB35" s="165">
        <f>IF(AND(AB29&gt;Z29,$AK8&gt;8,$AK7&gt;4,ISNUMBER(Z29),ISNUMBER(AB29)),1,0)</f>
        <v>0</v>
      </c>
      <c r="AC35" s="164">
        <f>IF(AND(AC29&gt;AE29,$AK8&gt;9,$AK7&gt;4,ISNUMBER(AC29),ISNUMBER(AE29)),1,0)</f>
        <v>0</v>
      </c>
      <c r="AD35" s="164"/>
      <c r="AE35" s="165">
        <f>IF(AND(AE29&gt;AC29,$AK8&gt;9,$AK7&gt;4,ISNUMBER(AC29),ISNUMBER(AE29)),1,0)</f>
        <v>0</v>
      </c>
      <c r="AT35" s="513"/>
      <c r="AU35" s="513"/>
      <c r="AV35" s="513"/>
      <c r="AW35" s="514"/>
      <c r="AX35" s="513"/>
      <c r="AY35" s="513"/>
    </row>
    <row r="36" spans="1:51" s="115" customFormat="1" ht="38.25" hidden="1" customHeight="1">
      <c r="A36" s="167" t="s">
        <v>206</v>
      </c>
      <c r="B36" s="115">
        <f>SUM(B31:B35)</f>
        <v>0</v>
      </c>
      <c r="D36" s="168">
        <f>SUM(D31:D35)</f>
        <v>2</v>
      </c>
      <c r="E36" s="115">
        <f>SUM(E31:E35)</f>
        <v>1</v>
      </c>
      <c r="G36" s="168">
        <f>SUM(G31:G35)</f>
        <v>1</v>
      </c>
      <c r="H36" s="115">
        <f>SUM(H31:H35)</f>
        <v>1</v>
      </c>
      <c r="J36" s="168">
        <f>SUM(J31:J35)</f>
        <v>1</v>
      </c>
      <c r="K36" s="115">
        <f>SUM(K31:K35)</f>
        <v>0</v>
      </c>
      <c r="M36" s="168">
        <f>SUM(M31:M35)</f>
        <v>0</v>
      </c>
      <c r="N36" s="115">
        <f>SUM(N31:N35)</f>
        <v>0</v>
      </c>
      <c r="P36" s="168">
        <f>SUM(P31:P35)</f>
        <v>0</v>
      </c>
      <c r="Q36" s="115">
        <f>SUM(Q31:Q35)</f>
        <v>0</v>
      </c>
      <c r="S36" s="168">
        <f>SUM(S31:S35)</f>
        <v>0</v>
      </c>
      <c r="T36" s="115">
        <f>SUM(T31:T35)</f>
        <v>0</v>
      </c>
      <c r="V36" s="168">
        <f>SUM(V31:V35)</f>
        <v>0</v>
      </c>
      <c r="W36" s="115">
        <f>SUM(W31:W35)</f>
        <v>0</v>
      </c>
      <c r="Y36" s="168">
        <f>SUM(Y31:Y35)</f>
        <v>0</v>
      </c>
      <c r="Z36" s="115">
        <f>SUM(Z31:Z35)</f>
        <v>0</v>
      </c>
      <c r="AB36" s="168">
        <f>SUM(AB31:AB35)</f>
        <v>0</v>
      </c>
      <c r="AC36" s="115">
        <f>SUM(AC31:AC35)</f>
        <v>0</v>
      </c>
      <c r="AE36" s="168">
        <f>SUM(AE31:AE35)</f>
        <v>0</v>
      </c>
      <c r="AT36" s="513"/>
      <c r="AU36" s="513"/>
      <c r="AV36" s="513"/>
      <c r="AW36" s="514"/>
      <c r="AX36" s="513"/>
      <c r="AY36" s="513"/>
    </row>
    <row r="37" spans="1:51" s="115" customFormat="1" ht="25.5" hidden="1" customHeight="1">
      <c r="A37" s="167" t="s">
        <v>207</v>
      </c>
      <c r="B37" s="115">
        <f>IF(B36&gt;D36,IF(C71=AK7,1,IF(C71=AK7-1,1,0)),0)</f>
        <v>0</v>
      </c>
      <c r="C37" s="115">
        <f>B37+D37</f>
        <v>1</v>
      </c>
      <c r="D37" s="168">
        <f>IF(D36&gt;B36,IF(C71=AK7,1,IF(C71=AK7-1,1,0)),0)</f>
        <v>1</v>
      </c>
      <c r="E37" s="115">
        <f>IF(E36&gt;G36,IF(F71=AK7,1,IF(F71=AK7-1,1,0)),0)</f>
        <v>0</v>
      </c>
      <c r="F37" s="115">
        <f>E37+G37</f>
        <v>0</v>
      </c>
      <c r="G37" s="168">
        <f>IF(G36&gt;E36,IF(F71=AK7,1,IF(F71=AK7-1,1,0)),0)</f>
        <v>0</v>
      </c>
      <c r="H37" s="115">
        <f>IF(H36&gt;J36,IF(I71=AK7,1,IF(I71=AK7-1,1,0)),0)</f>
        <v>0</v>
      </c>
      <c r="I37" s="115">
        <f>H37+J37</f>
        <v>0</v>
      </c>
      <c r="J37" s="168">
        <f>IF(J36&gt;H36,IF(I71=AK7,1,IF(I71=AK7-1,1,0)),0)</f>
        <v>0</v>
      </c>
      <c r="K37" s="115">
        <f>IF(K36&gt;M36,IF(L71=AK7,1,IF(L71=AK7-1,1,0)),0)</f>
        <v>0</v>
      </c>
      <c r="L37" s="115">
        <f>K37+M37</f>
        <v>0</v>
      </c>
      <c r="M37" s="168">
        <f>IF(M36&gt;K36,IF(L71=AK7,1,IF(L71=AK7-1,1,0)),0)</f>
        <v>0</v>
      </c>
      <c r="N37" s="115">
        <f>IF(N36&gt;P36,IF(O71=AK7,1,IF(O71=AK7-1,1,0)),0)</f>
        <v>0</v>
      </c>
      <c r="O37" s="115">
        <f>N37+P37</f>
        <v>0</v>
      </c>
      <c r="P37" s="168">
        <f>IF(P36&gt;N36,IF(O71=AK7,1,IF(O71=AK7-1,1,0)),0)</f>
        <v>0</v>
      </c>
      <c r="Q37" s="115">
        <f>IF(Q36&gt;S36,IF(R71=AK7,1,IF(R71=AK7-1,1,0)),0)</f>
        <v>0</v>
      </c>
      <c r="R37" s="115">
        <f>Q37+S37</f>
        <v>0</v>
      </c>
      <c r="S37" s="168">
        <f>IF(S36&gt;Q36,IF(R71=AK7,1,IF(R71=AK7-1,1,0)),0)</f>
        <v>0</v>
      </c>
      <c r="T37" s="115">
        <f>IF(T36&gt;V36,IF(U71=AK7,1,IF(U71=AK7-1,1,0)),0)</f>
        <v>0</v>
      </c>
      <c r="U37" s="115">
        <f>T37+V37</f>
        <v>0</v>
      </c>
      <c r="V37" s="168">
        <f>IF(V36&gt;T36,IF(U71=AK7,1,IF(U71=AK7-1,1,0)),0)</f>
        <v>0</v>
      </c>
      <c r="W37" s="115">
        <f>IF(W36&gt;Y36,IF(X71=AK7,1,IF(X71=AK7-1,1,0)),0)</f>
        <v>0</v>
      </c>
      <c r="X37" s="115">
        <f>W37+Y37</f>
        <v>0</v>
      </c>
      <c r="Y37" s="168">
        <f>IF(Y36&gt;W36,IF(X71=AK7,1,IF(X71=AK7-1,1,0)),0)</f>
        <v>0</v>
      </c>
      <c r="Z37" s="115">
        <f>IF(Z36&gt;AB36,IF(AA71=AK7,1,IF(AA71=AK7-1,1,0)),0)</f>
        <v>0</v>
      </c>
      <c r="AA37" s="115">
        <f>Z37+AB37</f>
        <v>0</v>
      </c>
      <c r="AB37" s="168">
        <f>IF(AB36&gt;Z36,IF(AA71=AK7,1,IF(AA71=AK7-1,1,0)),0)</f>
        <v>0</v>
      </c>
      <c r="AC37" s="115">
        <f>IF(AC36&gt;AE36,IF(AD71=AK7,1,IF(AD71=AK7-1,1,0)),0)</f>
        <v>0</v>
      </c>
      <c r="AD37" s="115">
        <f>AC37+AE37</f>
        <v>0</v>
      </c>
      <c r="AE37" s="168">
        <f>IF(AE36&gt;AC36,IF(AD71=AK7,1,IF(AD71=AK7-1,1,0)),0)</f>
        <v>0</v>
      </c>
      <c r="AT37" s="513"/>
      <c r="AU37" s="513"/>
      <c r="AV37" s="513"/>
      <c r="AW37" s="514"/>
      <c r="AX37" s="513"/>
      <c r="AY37" s="513"/>
    </row>
    <row r="38" spans="1:51" s="115" customFormat="1" ht="25.5" hidden="1" customHeight="1">
      <c r="A38" s="167"/>
      <c r="D38" s="168"/>
      <c r="G38" s="168"/>
      <c r="J38" s="168"/>
      <c r="M38" s="168"/>
      <c r="P38" s="168"/>
      <c r="S38" s="168"/>
      <c r="V38" s="168"/>
      <c r="Y38" s="168"/>
      <c r="AB38" s="168"/>
      <c r="AE38" s="168"/>
      <c r="AT38" s="513"/>
      <c r="AU38" s="513"/>
      <c r="AV38" s="513"/>
      <c r="AW38" s="514"/>
      <c r="AX38" s="513"/>
      <c r="AY38" s="513"/>
    </row>
    <row r="39" spans="1:51" s="115" customFormat="1" ht="12.75" hidden="1" customHeight="1">
      <c r="A39" s="115" t="s">
        <v>208</v>
      </c>
      <c r="B39" s="115">
        <f>IF(B31=1,B25,0)</f>
        <v>0</v>
      </c>
      <c r="D39" s="168">
        <f t="shared" ref="D39:E43" si="2">IF(D31=1,D25,0)</f>
        <v>24</v>
      </c>
      <c r="E39" s="115">
        <f t="shared" si="2"/>
        <v>21</v>
      </c>
      <c r="G39" s="168">
        <f t="shared" ref="G39:H43" si="3">IF(G31=1,G25,0)</f>
        <v>0</v>
      </c>
      <c r="H39" s="115">
        <f t="shared" si="3"/>
        <v>0</v>
      </c>
      <c r="J39" s="168">
        <f t="shared" ref="J39:K43" si="4">IF(J31=1,J25,0)</f>
        <v>27</v>
      </c>
      <c r="K39" s="115">
        <f t="shared" si="4"/>
        <v>0</v>
      </c>
      <c r="M39" s="168">
        <f t="shared" ref="M39:N43" si="5">IF(M31=1,M25,0)</f>
        <v>0</v>
      </c>
      <c r="N39" s="115">
        <f t="shared" si="5"/>
        <v>0</v>
      </c>
      <c r="P39" s="168">
        <f t="shared" ref="P39:Q43" si="6">IF(P31=1,P25,0)</f>
        <v>0</v>
      </c>
      <c r="Q39" s="115">
        <f t="shared" si="6"/>
        <v>0</v>
      </c>
      <c r="S39" s="168">
        <f t="shared" ref="S39:T43" si="7">IF(S31=1,S25,0)</f>
        <v>0</v>
      </c>
      <c r="T39" s="115">
        <f t="shared" si="7"/>
        <v>0</v>
      </c>
      <c r="V39" s="168">
        <f t="shared" ref="V39:W43" si="8">IF(V31=1,V25,0)</f>
        <v>0</v>
      </c>
      <c r="W39" s="115">
        <f t="shared" si="8"/>
        <v>0</v>
      </c>
      <c r="Y39" s="168">
        <f t="shared" ref="Y39:Z43" si="9">IF(Y31=1,Y25,0)</f>
        <v>0</v>
      </c>
      <c r="Z39" s="115">
        <f t="shared" si="9"/>
        <v>0</v>
      </c>
      <c r="AB39" s="168">
        <f t="shared" ref="AB39:AC43" si="10">IF(AB31=1,AB25,0)</f>
        <v>0</v>
      </c>
      <c r="AC39" s="115">
        <f t="shared" si="10"/>
        <v>0</v>
      </c>
      <c r="AE39" s="168">
        <f>IF(AE31=1,AE25,0)</f>
        <v>0</v>
      </c>
      <c r="AT39" s="513"/>
      <c r="AU39" s="513"/>
      <c r="AV39" s="513"/>
      <c r="AW39" s="514"/>
      <c r="AX39" s="513"/>
      <c r="AY39" s="513"/>
    </row>
    <row r="40" spans="1:51" s="115" customFormat="1" ht="12.75" hidden="1" customHeight="1">
      <c r="A40" s="115" t="s">
        <v>209</v>
      </c>
      <c r="B40" s="115">
        <f>IF(B32=1,B26,0)</f>
        <v>0</v>
      </c>
      <c r="D40" s="168">
        <f t="shared" si="2"/>
        <v>27</v>
      </c>
      <c r="E40" s="115">
        <f t="shared" si="2"/>
        <v>0</v>
      </c>
      <c r="G40" s="168">
        <f t="shared" si="3"/>
        <v>20</v>
      </c>
      <c r="H40" s="115">
        <f t="shared" si="3"/>
        <v>20</v>
      </c>
      <c r="J40" s="168">
        <f t="shared" si="4"/>
        <v>0</v>
      </c>
      <c r="K40" s="115">
        <f t="shared" si="4"/>
        <v>0</v>
      </c>
      <c r="M40" s="168">
        <f t="shared" si="5"/>
        <v>0</v>
      </c>
      <c r="N40" s="115">
        <f t="shared" si="5"/>
        <v>0</v>
      </c>
      <c r="P40" s="168">
        <f t="shared" si="6"/>
        <v>0</v>
      </c>
      <c r="Q40" s="115">
        <f t="shared" si="6"/>
        <v>0</v>
      </c>
      <c r="S40" s="168">
        <f t="shared" si="7"/>
        <v>0</v>
      </c>
      <c r="T40" s="115">
        <f t="shared" si="7"/>
        <v>0</v>
      </c>
      <c r="V40" s="168">
        <f t="shared" si="8"/>
        <v>0</v>
      </c>
      <c r="W40" s="115">
        <f t="shared" si="8"/>
        <v>0</v>
      </c>
      <c r="Y40" s="168">
        <f t="shared" si="9"/>
        <v>0</v>
      </c>
      <c r="Z40" s="115">
        <f t="shared" si="9"/>
        <v>0</v>
      </c>
      <c r="AB40" s="168">
        <f t="shared" si="10"/>
        <v>0</v>
      </c>
      <c r="AC40" s="115">
        <f t="shared" si="10"/>
        <v>0</v>
      </c>
      <c r="AE40" s="168">
        <f>IF(AE32=1,AE26,0)</f>
        <v>0</v>
      </c>
      <c r="AT40" s="513"/>
      <c r="AU40" s="513"/>
      <c r="AV40" s="513"/>
      <c r="AW40" s="514"/>
      <c r="AX40" s="513"/>
      <c r="AY40" s="513"/>
    </row>
    <row r="41" spans="1:51" s="115" customFormat="1" ht="12.75" hidden="1" customHeight="1">
      <c r="A41" s="115" t="s">
        <v>210</v>
      </c>
      <c r="B41" s="115">
        <f>IF(B33=1,B27,0)</f>
        <v>0</v>
      </c>
      <c r="D41" s="168">
        <f t="shared" si="2"/>
        <v>0</v>
      </c>
      <c r="E41" s="115">
        <f t="shared" si="2"/>
        <v>0</v>
      </c>
      <c r="G41" s="168">
        <f t="shared" si="3"/>
        <v>0</v>
      </c>
      <c r="H41" s="115">
        <f t="shared" si="3"/>
        <v>0</v>
      </c>
      <c r="J41" s="168">
        <f t="shared" si="4"/>
        <v>0</v>
      </c>
      <c r="K41" s="115">
        <f t="shared" si="4"/>
        <v>0</v>
      </c>
      <c r="M41" s="168">
        <f t="shared" si="5"/>
        <v>0</v>
      </c>
      <c r="N41" s="115">
        <f t="shared" si="5"/>
        <v>0</v>
      </c>
      <c r="P41" s="168">
        <f t="shared" si="6"/>
        <v>0</v>
      </c>
      <c r="Q41" s="115">
        <f t="shared" si="6"/>
        <v>0</v>
      </c>
      <c r="S41" s="168">
        <f t="shared" si="7"/>
        <v>0</v>
      </c>
      <c r="T41" s="115">
        <f t="shared" si="7"/>
        <v>0</v>
      </c>
      <c r="V41" s="168">
        <f t="shared" si="8"/>
        <v>0</v>
      </c>
      <c r="W41" s="115">
        <f t="shared" si="8"/>
        <v>0</v>
      </c>
      <c r="Y41" s="168">
        <f t="shared" si="9"/>
        <v>0</v>
      </c>
      <c r="Z41" s="115">
        <f t="shared" si="9"/>
        <v>0</v>
      </c>
      <c r="AB41" s="168">
        <f t="shared" si="10"/>
        <v>0</v>
      </c>
      <c r="AC41" s="115">
        <f t="shared" si="10"/>
        <v>0</v>
      </c>
      <c r="AE41" s="168">
        <f>IF(AE33=1,AE27,0)</f>
        <v>0</v>
      </c>
      <c r="AT41" s="513"/>
      <c r="AU41" s="513"/>
      <c r="AV41" s="513"/>
      <c r="AW41" s="514"/>
      <c r="AX41" s="513"/>
      <c r="AY41" s="513"/>
    </row>
    <row r="42" spans="1:51" s="115" customFormat="1" ht="12.75" hidden="1" customHeight="1">
      <c r="A42" s="115" t="s">
        <v>211</v>
      </c>
      <c r="B42" s="115">
        <f>IF(B34=1,B28,0)</f>
        <v>0</v>
      </c>
      <c r="D42" s="168">
        <f t="shared" si="2"/>
        <v>0</v>
      </c>
      <c r="E42" s="115">
        <f t="shared" si="2"/>
        <v>0</v>
      </c>
      <c r="G42" s="168">
        <f t="shared" si="3"/>
        <v>0</v>
      </c>
      <c r="H42" s="115">
        <f t="shared" si="3"/>
        <v>0</v>
      </c>
      <c r="J42" s="168">
        <f t="shared" si="4"/>
        <v>0</v>
      </c>
      <c r="K42" s="115">
        <f t="shared" si="4"/>
        <v>0</v>
      </c>
      <c r="M42" s="168">
        <f t="shared" si="5"/>
        <v>0</v>
      </c>
      <c r="N42" s="115">
        <f t="shared" si="5"/>
        <v>0</v>
      </c>
      <c r="P42" s="168">
        <f t="shared" si="6"/>
        <v>0</v>
      </c>
      <c r="Q42" s="115">
        <f t="shared" si="6"/>
        <v>0</v>
      </c>
      <c r="S42" s="168">
        <f t="shared" si="7"/>
        <v>0</v>
      </c>
      <c r="T42" s="115">
        <f t="shared" si="7"/>
        <v>0</v>
      </c>
      <c r="V42" s="168">
        <f t="shared" si="8"/>
        <v>0</v>
      </c>
      <c r="W42" s="115">
        <f t="shared" si="8"/>
        <v>0</v>
      </c>
      <c r="Y42" s="168">
        <f t="shared" si="9"/>
        <v>0</v>
      </c>
      <c r="Z42" s="115">
        <f t="shared" si="9"/>
        <v>0</v>
      </c>
      <c r="AB42" s="168">
        <f t="shared" si="10"/>
        <v>0</v>
      </c>
      <c r="AC42" s="115">
        <f t="shared" si="10"/>
        <v>0</v>
      </c>
      <c r="AE42" s="168">
        <f>IF(AE34=1,AE28,0)</f>
        <v>0</v>
      </c>
      <c r="AT42" s="513"/>
      <c r="AU42" s="513"/>
      <c r="AV42" s="513"/>
      <c r="AW42" s="514"/>
      <c r="AX42" s="513"/>
      <c r="AY42" s="513"/>
    </row>
    <row r="43" spans="1:51" s="115" customFormat="1" ht="12.75" hidden="1" customHeight="1">
      <c r="A43" s="115" t="s">
        <v>212</v>
      </c>
      <c r="B43" s="115">
        <f>IF(B35=1,B29,0)</f>
        <v>0</v>
      </c>
      <c r="D43" s="168">
        <f t="shared" si="2"/>
        <v>0</v>
      </c>
      <c r="E43" s="115">
        <f t="shared" si="2"/>
        <v>0</v>
      </c>
      <c r="G43" s="168">
        <f t="shared" si="3"/>
        <v>0</v>
      </c>
      <c r="H43" s="115">
        <f t="shared" si="3"/>
        <v>0</v>
      </c>
      <c r="J43" s="168">
        <f t="shared" si="4"/>
        <v>0</v>
      </c>
      <c r="K43" s="115">
        <f t="shared" si="4"/>
        <v>0</v>
      </c>
      <c r="M43" s="168">
        <f t="shared" si="5"/>
        <v>0</v>
      </c>
      <c r="N43" s="115">
        <f t="shared" si="5"/>
        <v>0</v>
      </c>
      <c r="P43" s="168">
        <f t="shared" si="6"/>
        <v>0</v>
      </c>
      <c r="Q43" s="115">
        <f t="shared" si="6"/>
        <v>0</v>
      </c>
      <c r="S43" s="168">
        <f t="shared" si="7"/>
        <v>0</v>
      </c>
      <c r="T43" s="115">
        <f t="shared" si="7"/>
        <v>0</v>
      </c>
      <c r="V43" s="168">
        <f t="shared" si="8"/>
        <v>0</v>
      </c>
      <c r="W43" s="115">
        <f t="shared" si="8"/>
        <v>0</v>
      </c>
      <c r="Y43" s="168">
        <f t="shared" si="9"/>
        <v>0</v>
      </c>
      <c r="Z43" s="115">
        <f t="shared" si="9"/>
        <v>0</v>
      </c>
      <c r="AB43" s="168">
        <f t="shared" si="10"/>
        <v>0</v>
      </c>
      <c r="AC43" s="115">
        <f t="shared" si="10"/>
        <v>0</v>
      </c>
      <c r="AE43" s="168">
        <f>IF(AE35=1,AE29,0)</f>
        <v>0</v>
      </c>
      <c r="AT43" s="513"/>
      <c r="AU43" s="513"/>
      <c r="AV43" s="513"/>
      <c r="AW43" s="514"/>
      <c r="AX43" s="513"/>
      <c r="AY43" s="513"/>
    </row>
    <row r="44" spans="1:51" s="115" customFormat="1" ht="38.25" hidden="1" customHeight="1">
      <c r="A44" s="167" t="s">
        <v>213</v>
      </c>
      <c r="B44" s="115">
        <f>SUM(B39:D43)</f>
        <v>51</v>
      </c>
      <c r="D44" s="168"/>
      <c r="E44" s="115">
        <f>SUM(E39:G43)</f>
        <v>41</v>
      </c>
      <c r="G44" s="168"/>
      <c r="H44" s="115">
        <f>SUM(H39:J43)</f>
        <v>47</v>
      </c>
      <c r="J44" s="168"/>
      <c r="K44" s="115">
        <f>SUM(K39:M43)</f>
        <v>0</v>
      </c>
      <c r="M44" s="168"/>
      <c r="N44" s="115">
        <f>SUM(N39:P43)</f>
        <v>0</v>
      </c>
      <c r="P44" s="168"/>
      <c r="Q44" s="115">
        <f>SUM(Q39:S43)</f>
        <v>0</v>
      </c>
      <c r="S44" s="168"/>
      <c r="T44" s="115">
        <f>SUM(T39:V43)</f>
        <v>0</v>
      </c>
      <c r="V44" s="168"/>
      <c r="W44" s="115">
        <f>SUM(W39:Y43)</f>
        <v>0</v>
      </c>
      <c r="Y44" s="168"/>
      <c r="Z44" s="115">
        <f>SUM(Z39:AB43)</f>
        <v>0</v>
      </c>
      <c r="AB44" s="168"/>
      <c r="AC44" s="115">
        <f>SUM(AC39:AE43)</f>
        <v>0</v>
      </c>
      <c r="AE44" s="168"/>
      <c r="AT44" s="513"/>
      <c r="AU44" s="513"/>
      <c r="AV44" s="513"/>
      <c r="AW44" s="514"/>
      <c r="AX44" s="513"/>
      <c r="AY44" s="513"/>
    </row>
    <row r="45" spans="1:51" s="115" customFormat="1" ht="38.25" hidden="1" customHeight="1">
      <c r="A45" s="115" t="s">
        <v>214</v>
      </c>
      <c r="D45" s="168"/>
      <c r="G45" s="168"/>
      <c r="J45" s="168"/>
      <c r="M45" s="168"/>
      <c r="P45" s="168"/>
      <c r="S45" s="168"/>
      <c r="V45" s="168"/>
      <c r="Y45" s="168"/>
      <c r="AB45" s="168"/>
      <c r="AE45" s="168"/>
      <c r="AF45" s="167" t="s">
        <v>215</v>
      </c>
      <c r="AG45" s="115" t="s">
        <v>216</v>
      </c>
      <c r="AT45" s="513"/>
      <c r="AU45" s="513"/>
      <c r="AV45" s="513"/>
      <c r="AW45" s="514"/>
      <c r="AX45" s="513"/>
      <c r="AY45" s="513"/>
    </row>
    <row r="46" spans="1:51" s="115" customFormat="1" ht="12.75" hidden="1" customHeight="1">
      <c r="A46" s="115" t="s">
        <v>38</v>
      </c>
      <c r="B46" s="115">
        <f>IF(B24=1,IF(B37=1,1,0),0)</f>
        <v>0</v>
      </c>
      <c r="D46" s="168">
        <f>IF(D24=1,IF(D37=1,1,0),0)</f>
        <v>0</v>
      </c>
      <c r="E46" s="115">
        <f>IF(E24=1,IF(E37=1,1,0),0)</f>
        <v>0</v>
      </c>
      <c r="G46" s="168">
        <f>IF(G24=1,IF(G37=1,1,0),0)</f>
        <v>0</v>
      </c>
      <c r="H46" s="115">
        <f>IF(H24=1,IF(H37=1,1,0),0)</f>
        <v>0</v>
      </c>
      <c r="J46" s="168">
        <f>IF(J24=1,IF(J37=1,1,0),0)</f>
        <v>0</v>
      </c>
      <c r="K46" s="115">
        <f>IF(K24=1,IF(K37=1,1,0),0)</f>
        <v>0</v>
      </c>
      <c r="M46" s="168">
        <f>IF(M24=1,IF(M37=1,1,0),0)</f>
        <v>0</v>
      </c>
      <c r="N46" s="115">
        <f>IF(N24=1,IF(N37=1,1,0),0)</f>
        <v>0</v>
      </c>
      <c r="P46" s="168">
        <f>IF(P24=1,IF(P37=1,1,0),0)</f>
        <v>0</v>
      </c>
      <c r="Q46" s="115">
        <f>IF(Q24=1,IF(Q37=1,1,0),0)</f>
        <v>0</v>
      </c>
      <c r="S46" s="168">
        <f>IF(S24=1,IF(S37=1,1,0),0)</f>
        <v>0</v>
      </c>
      <c r="T46" s="115">
        <f>IF(T24=1,IF(T37=1,1,0),0)</f>
        <v>0</v>
      </c>
      <c r="V46" s="168">
        <f>IF(V24=1,IF(V37=1,1,0),0)</f>
        <v>0</v>
      </c>
      <c r="W46" s="115">
        <f>IF(W24=1,IF(W37=1,1,0),0)</f>
        <v>0</v>
      </c>
      <c r="Y46" s="168">
        <f>IF(Y24=1,IF(Y37=1,1,0),0)</f>
        <v>0</v>
      </c>
      <c r="Z46" s="115">
        <f>IF(Z24=1,IF(Z37=1,1,0),0)</f>
        <v>0</v>
      </c>
      <c r="AB46" s="168">
        <f>IF(AB24=1,IF(AB37=1,1,0),0)</f>
        <v>0</v>
      </c>
      <c r="AC46" s="115">
        <f>IF(AC24=1,IF(AC37=1,1,0),0)</f>
        <v>0</v>
      </c>
      <c r="AE46" s="168">
        <f>IF(AE24=1,IF(AE37=1,1,0),0)</f>
        <v>0</v>
      </c>
      <c r="AF46" s="115">
        <f>SUM(B46:AE46)</f>
        <v>0</v>
      </c>
      <c r="AG46" s="115">
        <f>AF52-AF46</f>
        <v>1</v>
      </c>
      <c r="AT46" s="513"/>
      <c r="AU46" s="513"/>
      <c r="AV46" s="513"/>
      <c r="AW46" s="514"/>
      <c r="AX46" s="513"/>
      <c r="AY46" s="513"/>
    </row>
    <row r="47" spans="1:51" s="115" customFormat="1" ht="12.75" hidden="1" customHeight="1">
      <c r="A47" s="115" t="s">
        <v>39</v>
      </c>
      <c r="B47" s="115">
        <f>IF(B24=2,IF(B37=1,1,0),0)</f>
        <v>0</v>
      </c>
      <c r="D47" s="168">
        <f>IF(D24=2,IF(D37=1,1,0),0)</f>
        <v>1</v>
      </c>
      <c r="E47" s="115">
        <f>IF(E24=2,IF(E37=1,1,0),0)</f>
        <v>0</v>
      </c>
      <c r="G47" s="168">
        <f>IF(G24=2,IF(G37=1,1,0),0)</f>
        <v>0</v>
      </c>
      <c r="H47" s="115">
        <f>IF(H24=2,IF(H37=1,1,0),0)</f>
        <v>0</v>
      </c>
      <c r="J47" s="168">
        <f>IF(J24=2,IF(J37=1,1,0),0)</f>
        <v>0</v>
      </c>
      <c r="K47" s="115">
        <f>IF(K24=2,IF(K37=1,1,0),0)</f>
        <v>0</v>
      </c>
      <c r="M47" s="168">
        <f>IF(M24=2,IF(M37=1,1,0),0)</f>
        <v>0</v>
      </c>
      <c r="N47" s="115">
        <f>IF(N24=2,IF(N37=1,1,0),0)</f>
        <v>0</v>
      </c>
      <c r="P47" s="168">
        <f>IF(P24=2,IF(P37=1,1,0),0)</f>
        <v>0</v>
      </c>
      <c r="Q47" s="115">
        <f>IF(Q24=2,IF(Q37=1,1,0),0)</f>
        <v>0</v>
      </c>
      <c r="S47" s="168">
        <f>IF(S24=2,IF(S37=1,1,0),0)</f>
        <v>0</v>
      </c>
      <c r="T47" s="115">
        <f>IF(T24=2,IF(T37=1,1,0),0)</f>
        <v>0</v>
      </c>
      <c r="V47" s="168">
        <f>IF(V24=2,IF(V37=1,1,0),0)</f>
        <v>0</v>
      </c>
      <c r="W47" s="115">
        <f>IF(W24=2,IF(W37=1,1,0),0)</f>
        <v>0</v>
      </c>
      <c r="Y47" s="168">
        <f>IF(Y24=2,IF(Y37=1,1,0),0)</f>
        <v>0</v>
      </c>
      <c r="Z47" s="115">
        <f>IF(Z24=2,IF(Z37=1,1,0),0)</f>
        <v>0</v>
      </c>
      <c r="AB47" s="168">
        <f>IF(AB24=2,IF(AB37=1,1,0),0)</f>
        <v>0</v>
      </c>
      <c r="AC47" s="115">
        <f>IF(AC24=2,IF(AC37=1,1,0),0)</f>
        <v>0</v>
      </c>
      <c r="AE47" s="168">
        <f>IF(AE24=2,IF(AE37=1,1,0),0)</f>
        <v>0</v>
      </c>
      <c r="AF47" s="115">
        <f>SUM(B47:AE47)</f>
        <v>1</v>
      </c>
      <c r="AG47" s="115">
        <f>AF53-AF47</f>
        <v>0</v>
      </c>
      <c r="AT47" s="513"/>
      <c r="AU47" s="513"/>
      <c r="AV47" s="513"/>
      <c r="AW47" s="514"/>
      <c r="AX47" s="513"/>
      <c r="AY47" s="513"/>
    </row>
    <row r="48" spans="1:51" s="115" customFormat="1" ht="12.75" hidden="1" customHeight="1">
      <c r="A48" s="115" t="s">
        <v>40</v>
      </c>
      <c r="B48" s="115">
        <f>IF(B24=3,IF(B37=1,1,0),0)</f>
        <v>0</v>
      </c>
      <c r="D48" s="168">
        <f>IF(D24=3,IF(D37=1,1,0),0)</f>
        <v>0</v>
      </c>
      <c r="E48" s="115">
        <f>IF(E24=3,IF(E37=1,1,0),0)</f>
        <v>0</v>
      </c>
      <c r="G48" s="168">
        <f>IF(G24=3,IF(G37=1,1,0),0)</f>
        <v>0</v>
      </c>
      <c r="H48" s="115">
        <f>IF(H24=3,IF(H37=1,1,0),0)</f>
        <v>0</v>
      </c>
      <c r="J48" s="168">
        <f>IF(J24=3,IF(J37=1,1,0),0)</f>
        <v>0</v>
      </c>
      <c r="K48" s="115">
        <f>IF(K24=3,IF(K37=1,1,0),0)</f>
        <v>0</v>
      </c>
      <c r="M48" s="168">
        <f>IF(M24=3,IF(M37=1,1,0),0)</f>
        <v>0</v>
      </c>
      <c r="N48" s="115">
        <f>IF(N24=3,IF(N37=1,1,0),0)</f>
        <v>0</v>
      </c>
      <c r="P48" s="168">
        <f>IF(P24=3,IF(P37=1,1,0),0)</f>
        <v>0</v>
      </c>
      <c r="Q48" s="115">
        <f>IF(Q24=3,IF(Q37=1,1,0),0)</f>
        <v>0</v>
      </c>
      <c r="S48" s="168">
        <f>IF(S24=3,IF(S37=1,1,0),0)</f>
        <v>0</v>
      </c>
      <c r="T48" s="115">
        <f>IF(T24=3,IF(T37=1,1,0),0)</f>
        <v>0</v>
      </c>
      <c r="V48" s="168">
        <f>IF(V24=3,IF(V37=1,1,0),0)</f>
        <v>0</v>
      </c>
      <c r="W48" s="115">
        <f>IF(W24=3,IF(W37=1,1,0),0)</f>
        <v>0</v>
      </c>
      <c r="Y48" s="168">
        <f>IF(Y24=3,IF(Y37=1,1,0),0)</f>
        <v>0</v>
      </c>
      <c r="Z48" s="115">
        <f>IF(Z24=3,IF(Z37=1,1,0),0)</f>
        <v>0</v>
      </c>
      <c r="AB48" s="168">
        <f>IF(AB24=3,IF(AB37=1,1,0),0)</f>
        <v>0</v>
      </c>
      <c r="AC48" s="115">
        <f>IF(AC24=3,IF(AC37=1,1,0),0)</f>
        <v>0</v>
      </c>
      <c r="AE48" s="168">
        <f>IF(AE24=3,IF(AE37=1,1,0),0)</f>
        <v>0</v>
      </c>
      <c r="AF48" s="115">
        <f>SUM(B48:AE48)</f>
        <v>0</v>
      </c>
      <c r="AG48" s="115">
        <f>AF54-AF48</f>
        <v>0</v>
      </c>
      <c r="AT48" s="513"/>
      <c r="AU48" s="513"/>
      <c r="AV48" s="513"/>
      <c r="AW48" s="514"/>
      <c r="AX48" s="513"/>
      <c r="AY48" s="513"/>
    </row>
    <row r="49" spans="1:51" s="115" customFormat="1" ht="12.75" hidden="1" customHeight="1">
      <c r="A49" s="115" t="s">
        <v>41</v>
      </c>
      <c r="B49" s="115">
        <f>IF(B24=4,IF(B37=1,1,0),0)</f>
        <v>0</v>
      </c>
      <c r="D49" s="168">
        <f>IF(D24=4,IF(D37=1,1,0),0)</f>
        <v>0</v>
      </c>
      <c r="E49" s="115">
        <f>IF(E24=4,IF(E37=1,1,0),0)</f>
        <v>0</v>
      </c>
      <c r="G49" s="168">
        <f>IF(G24=4,IF(G37=1,1,0),0)</f>
        <v>0</v>
      </c>
      <c r="H49" s="115">
        <f>IF(H24=4,IF(H37=1,1,0),0)</f>
        <v>0</v>
      </c>
      <c r="J49" s="168">
        <f>IF(J24=4,IF(J37=1,1,0),0)</f>
        <v>0</v>
      </c>
      <c r="K49" s="115">
        <f>IF(K24=4,IF(K37=1,1,0),0)</f>
        <v>0</v>
      </c>
      <c r="M49" s="168">
        <f>IF(M24=4,IF(M37=1,1,0),0)</f>
        <v>0</v>
      </c>
      <c r="N49" s="115">
        <f>IF(N24=4,IF(N37=1,1,0),0)</f>
        <v>0</v>
      </c>
      <c r="P49" s="168">
        <f>IF(P24=4,IF(P37=1,1,0),0)</f>
        <v>0</v>
      </c>
      <c r="Q49" s="115">
        <f>IF(Q24=4,IF(Q37=1,1,0),0)</f>
        <v>0</v>
      </c>
      <c r="S49" s="168">
        <f>IF(S24=4,IF(S37=1,1,0),0)</f>
        <v>0</v>
      </c>
      <c r="T49" s="115">
        <f>IF(T24=4,IF(T37=1,1,0),0)</f>
        <v>0</v>
      </c>
      <c r="V49" s="168">
        <f>IF(V24=4,IF(V37=1,1,0),0)</f>
        <v>0</v>
      </c>
      <c r="W49" s="115">
        <f>IF(W24=4,IF(W37=1,1,0),0)</f>
        <v>0</v>
      </c>
      <c r="Y49" s="168">
        <f>IF(Y24=4,IF(Y37=1,1,0),0)</f>
        <v>0</v>
      </c>
      <c r="Z49" s="115">
        <f>IF(Z24=4,IF(Z37=1,1,0),0)</f>
        <v>0</v>
      </c>
      <c r="AB49" s="168">
        <f>IF(AB24=4,IF(AB37=1,1,0),0)</f>
        <v>0</v>
      </c>
      <c r="AC49" s="115">
        <f>IF(AC24=4,IF(AC37=1,1,0),0)</f>
        <v>0</v>
      </c>
      <c r="AE49" s="168">
        <f>IF(AE24=4,IF(AE37=1,1,0),0)</f>
        <v>0</v>
      </c>
      <c r="AF49" s="115">
        <f>SUM(B49:AE49)</f>
        <v>0</v>
      </c>
      <c r="AG49" s="115">
        <f>AF55-AF49</f>
        <v>0</v>
      </c>
      <c r="AT49" s="513"/>
      <c r="AU49" s="513"/>
      <c r="AV49" s="513"/>
      <c r="AW49" s="514"/>
      <c r="AX49" s="513"/>
      <c r="AY49" s="513"/>
    </row>
    <row r="50" spans="1:51" s="115" customFormat="1" ht="12.75" hidden="1" customHeight="1">
      <c r="A50" s="115" t="s">
        <v>42</v>
      </c>
      <c r="B50" s="115">
        <f>IF(B24=5,IF(B37=1,1,0),0)</f>
        <v>0</v>
      </c>
      <c r="D50" s="168">
        <f>IF(D24=5,IF(D37=1,1,0),0)</f>
        <v>0</v>
      </c>
      <c r="E50" s="115">
        <f>IF(E24=5,IF(E37=1,1,0),0)</f>
        <v>0</v>
      </c>
      <c r="G50" s="168">
        <f>IF(G24=5,IF(G37=1,1,0),0)</f>
        <v>0</v>
      </c>
      <c r="H50" s="115">
        <f>IF(H24=5,IF(H37=1,1,0),0)</f>
        <v>0</v>
      </c>
      <c r="J50" s="168">
        <f>IF(J24=5,IF(J37=1,1,0),0)</f>
        <v>0</v>
      </c>
      <c r="K50" s="115">
        <f>IF(K24=5,IF(K37=1,1,0),0)</f>
        <v>0</v>
      </c>
      <c r="M50" s="168">
        <f>IF(M24=5,IF(M37=1,1,0),0)</f>
        <v>0</v>
      </c>
      <c r="N50" s="115">
        <f>IF(N24=5,IF(N37=1,1,0),0)</f>
        <v>0</v>
      </c>
      <c r="P50" s="168">
        <f>IF(P24=5,IF(P37=1,1,0),0)</f>
        <v>0</v>
      </c>
      <c r="Q50" s="115">
        <f>IF(Q24=5,IF(Q37=1,1,0),0)</f>
        <v>0</v>
      </c>
      <c r="S50" s="168">
        <f>IF(S24=5,IF(S37=1,1,0),0)</f>
        <v>0</v>
      </c>
      <c r="T50" s="115">
        <f>IF(T24=5,IF(T37=1,1,0),0)</f>
        <v>0</v>
      </c>
      <c r="V50" s="168">
        <f>IF(V24=5,IF(V37=1,1,0),0)</f>
        <v>0</v>
      </c>
      <c r="W50" s="115">
        <f>IF(W24=5,IF(W37=1,1,0),0)</f>
        <v>0</v>
      </c>
      <c r="Y50" s="168">
        <f>IF(Y24=5,IF(Y37=1,1,0),0)</f>
        <v>0</v>
      </c>
      <c r="Z50" s="115">
        <f>IF(Z24=5,IF(Z37=1,1,0),0)</f>
        <v>0</v>
      </c>
      <c r="AB50" s="168">
        <f>IF(AB24=5,IF(AB37=1,1,0),0)</f>
        <v>0</v>
      </c>
      <c r="AC50" s="115">
        <f>IF(AC24=5,IF(AC37=1,1,0),0)</f>
        <v>0</v>
      </c>
      <c r="AE50" s="168">
        <f>IF(AE24=5,IF(AE37=1,1,0),0)</f>
        <v>0</v>
      </c>
      <c r="AF50" s="115">
        <f>SUM(B50:AE50)</f>
        <v>0</v>
      </c>
      <c r="AG50" s="115">
        <f>AF56-AF50</f>
        <v>0</v>
      </c>
      <c r="AT50" s="513"/>
      <c r="AU50" s="513"/>
      <c r="AV50" s="513"/>
      <c r="AW50" s="514"/>
      <c r="AX50" s="513"/>
      <c r="AY50" s="513"/>
    </row>
    <row r="51" spans="1:51" s="115" customFormat="1" ht="38.25" hidden="1" customHeight="1">
      <c r="A51" s="167"/>
      <c r="D51" s="168"/>
      <c r="G51" s="168"/>
      <c r="J51" s="168"/>
      <c r="M51" s="168"/>
      <c r="P51" s="168"/>
      <c r="S51" s="168"/>
      <c r="V51" s="168"/>
      <c r="Y51" s="168"/>
      <c r="AB51" s="168"/>
      <c r="AE51" s="168"/>
      <c r="AF51" s="167" t="s">
        <v>217</v>
      </c>
      <c r="AT51" s="513"/>
      <c r="AU51" s="513"/>
      <c r="AV51" s="513"/>
      <c r="AW51" s="514"/>
      <c r="AX51" s="513"/>
      <c r="AY51" s="513"/>
    </row>
    <row r="52" spans="1:51" s="115" customFormat="1" ht="12.75" hidden="1" customHeight="1">
      <c r="A52" s="115" t="s">
        <v>43</v>
      </c>
      <c r="B52" s="115">
        <f>IF(B24=1,IF(C37=1,1,0),0)</f>
        <v>1</v>
      </c>
      <c r="D52" s="168">
        <f>IF(D24=1,IF(C37=1,1,0),0)</f>
        <v>0</v>
      </c>
      <c r="E52" s="115">
        <f>IF(E24=1,IF(F37=1,1,0),0)</f>
        <v>0</v>
      </c>
      <c r="G52" s="168">
        <f>IF(G24=1,IF(F37=1,1,0),0)</f>
        <v>0</v>
      </c>
      <c r="H52" s="115">
        <f>IF(H24=1,IF(I37=1,1,0),0)</f>
        <v>0</v>
      </c>
      <c r="J52" s="168">
        <f>IF(J24=1,IF(I37=1,1,0),0)</f>
        <v>0</v>
      </c>
      <c r="K52" s="115">
        <f>IF(K24=1,IF(L37=1,1,0),0)</f>
        <v>0</v>
      </c>
      <c r="M52" s="168">
        <f>IF(M24=1,IF(L37=1,1,0),0)</f>
        <v>0</v>
      </c>
      <c r="N52" s="115">
        <f>IF(N24=1,IF(O37=1,1,0),0)</f>
        <v>0</v>
      </c>
      <c r="P52" s="168">
        <f>IF(P24=1,IF(O37=1,1,0),0)</f>
        <v>0</v>
      </c>
      <c r="Q52" s="115">
        <f>IF(Q24=1,IF(R37=1,1,0),0)</f>
        <v>0</v>
      </c>
      <c r="S52" s="168">
        <f>IF(S24=1,IF(R37=1,1,0),0)</f>
        <v>0</v>
      </c>
      <c r="T52" s="115">
        <f>IF(T24=1,IF(U37=1,1,0),0)</f>
        <v>0</v>
      </c>
      <c r="V52" s="168">
        <f>IF(V24=1,IF(U37=1,1,0),0)</f>
        <v>0</v>
      </c>
      <c r="W52" s="115">
        <f>IF(W24=1,IF(X37=1,1,0),0)</f>
        <v>0</v>
      </c>
      <c r="Y52" s="168">
        <f>IF(Y24=1,IF(X37=1,1,0),0)</f>
        <v>0</v>
      </c>
      <c r="Z52" s="115">
        <f>IF(Z24=1,IF(AA37=1,1,0),0)</f>
        <v>0</v>
      </c>
      <c r="AB52" s="168">
        <f>IF(AB24=1,IF(AA37=1,1,0),0)</f>
        <v>0</v>
      </c>
      <c r="AC52" s="115">
        <f>IF(AC24=1,IF(AD37=1,1,0),0)</f>
        <v>0</v>
      </c>
      <c r="AE52" s="168">
        <f>IF(AE24=1,IF(AD37=1,1,0),0)</f>
        <v>0</v>
      </c>
      <c r="AF52" s="115">
        <f>SUM(B52:AE52)</f>
        <v>1</v>
      </c>
      <c r="AT52" s="513"/>
      <c r="AU52" s="513"/>
      <c r="AV52" s="513"/>
      <c r="AW52" s="514"/>
      <c r="AX52" s="513"/>
      <c r="AY52" s="513"/>
    </row>
    <row r="53" spans="1:51" s="115" customFormat="1" ht="12.75" hidden="1" customHeight="1">
      <c r="A53" s="115" t="s">
        <v>44</v>
      </c>
      <c r="B53" s="115">
        <f>IF(B24=2,IF(C37=1,1,0),0)</f>
        <v>0</v>
      </c>
      <c r="D53" s="168">
        <f>IF(D24=2,IF(C37=1,1,0),0)</f>
        <v>1</v>
      </c>
      <c r="E53" s="115">
        <f>IF(E24=2,IF(F37=1,1,0),0)</f>
        <v>0</v>
      </c>
      <c r="G53" s="168">
        <f>IF(G24=2,IF(F37=1,1,0),0)</f>
        <v>0</v>
      </c>
      <c r="H53" s="115">
        <f>IF(H24=2,IF(I37=1,1,0),0)</f>
        <v>0</v>
      </c>
      <c r="J53" s="168">
        <f>IF(J24=2,IF(I37=1,1,0),0)</f>
        <v>0</v>
      </c>
      <c r="K53" s="115">
        <f>IF(K24=2,IF(L37=1,1,0),0)</f>
        <v>0</v>
      </c>
      <c r="M53" s="168">
        <f>IF(M24=2,IF(L37=1,1,0),0)</f>
        <v>0</v>
      </c>
      <c r="N53" s="115">
        <f>IF(N24=2,IF(O37=1,1,0),0)</f>
        <v>0</v>
      </c>
      <c r="P53" s="168">
        <f>IF(P24=2,IF(O37=1,1,0),0)</f>
        <v>0</v>
      </c>
      <c r="Q53" s="115">
        <f>IF(Q24=2,IF(R37=1,1,0),0)</f>
        <v>0</v>
      </c>
      <c r="S53" s="168">
        <f>IF(S24=2,IF(R37=1,1,0),0)</f>
        <v>0</v>
      </c>
      <c r="T53" s="115">
        <f>IF(T24=2,IF(U37=1,1,0),0)</f>
        <v>0</v>
      </c>
      <c r="V53" s="168">
        <f>IF(V24=2,IF(U37=1,1,0),0)</f>
        <v>0</v>
      </c>
      <c r="W53" s="115">
        <f>IF(W24=2,IF(X37=1,1,0),0)</f>
        <v>0</v>
      </c>
      <c r="Y53" s="168">
        <f>IF(Y24=2,IF(X37=1,1,0),0)</f>
        <v>0</v>
      </c>
      <c r="Z53" s="115">
        <f>IF(Z24=2,IF(AA37=1,1,0),0)</f>
        <v>0</v>
      </c>
      <c r="AB53" s="168">
        <f>IF(AB24=2,IF(AA37=1,1,0),0)</f>
        <v>0</v>
      </c>
      <c r="AC53" s="115">
        <f>IF(AC24=2,IF(AD37=1,1,0),0)</f>
        <v>0</v>
      </c>
      <c r="AE53" s="168">
        <f>IF(AE24=2,IF(AD37=1,1,0),0)</f>
        <v>0</v>
      </c>
      <c r="AF53" s="115">
        <f>SUM(B53:AE53)</f>
        <v>1</v>
      </c>
      <c r="AT53" s="513"/>
      <c r="AU53" s="513"/>
      <c r="AV53" s="513"/>
      <c r="AW53" s="514"/>
      <c r="AX53" s="513"/>
      <c r="AY53" s="513"/>
    </row>
    <row r="54" spans="1:51" s="115" customFormat="1" ht="12.75" hidden="1" customHeight="1">
      <c r="A54" s="115" t="s">
        <v>45</v>
      </c>
      <c r="B54" s="115">
        <f>IF(B24=3,IF(C37=1,1,0),0)</f>
        <v>0</v>
      </c>
      <c r="D54" s="168">
        <f>IF(D24=3,IF(C37=1,1,0),0)</f>
        <v>0</v>
      </c>
      <c r="E54" s="115">
        <f>IF(E24=3,IF(F37=1,1,0),0)</f>
        <v>0</v>
      </c>
      <c r="G54" s="168">
        <f>IF(G24=3,IF(F37=1,1,0),0)</f>
        <v>0</v>
      </c>
      <c r="H54" s="115">
        <f>IF(H24=3,IF(I37=1,1,0),0)</f>
        <v>0</v>
      </c>
      <c r="J54" s="168">
        <f>IF(J24=3,IF(I37=1,1,0),0)</f>
        <v>0</v>
      </c>
      <c r="K54" s="115">
        <f>IF(K24=3,IF(L37=1,1,0),0)</f>
        <v>0</v>
      </c>
      <c r="M54" s="168">
        <f>IF(M24=3,IF(L37=1,1,0),0)</f>
        <v>0</v>
      </c>
      <c r="N54" s="115">
        <f>IF(N24=3,IF(O37=1,1,0),0)</f>
        <v>0</v>
      </c>
      <c r="P54" s="168">
        <f>IF(P24=3,IF(O37=1,1,0),0)</f>
        <v>0</v>
      </c>
      <c r="Q54" s="115">
        <f>IF(Q24=3,IF(R37=1,1,0),0)</f>
        <v>0</v>
      </c>
      <c r="S54" s="168">
        <f>IF(S24=3,IF(R37=1,1,0),0)</f>
        <v>0</v>
      </c>
      <c r="T54" s="115">
        <f>IF(T24=3,IF(U37=1,1,0),0)</f>
        <v>0</v>
      </c>
      <c r="V54" s="168">
        <f>IF(V24=3,IF(U37=1,1,0),0)</f>
        <v>0</v>
      </c>
      <c r="W54" s="115">
        <f>IF(W24=3,IF(X37=1,1,0),0)</f>
        <v>0</v>
      </c>
      <c r="Y54" s="168">
        <f>IF(Y24=3,IF(X37=1,1,0),0)</f>
        <v>0</v>
      </c>
      <c r="Z54" s="115">
        <f>IF(Z24=3,IF(AA37=1,1,0),0)</f>
        <v>0</v>
      </c>
      <c r="AB54" s="168">
        <f>IF(AB24=3,IF(AA37=1,1,0),0)</f>
        <v>0</v>
      </c>
      <c r="AC54" s="115">
        <f>IF(AC24=3,IF(AD37=1,1,0),0)</f>
        <v>0</v>
      </c>
      <c r="AE54" s="168">
        <f>IF(AE24=3,IF(AD37=1,1,0),0)</f>
        <v>0</v>
      </c>
      <c r="AF54" s="115">
        <f>SUM(B54:AE54)</f>
        <v>0</v>
      </c>
      <c r="AT54" s="513"/>
      <c r="AU54" s="513"/>
      <c r="AV54" s="513"/>
      <c r="AW54" s="514"/>
      <c r="AX54" s="513"/>
      <c r="AY54" s="513"/>
    </row>
    <row r="55" spans="1:51" s="115" customFormat="1" ht="12.75" hidden="1" customHeight="1">
      <c r="A55" s="115" t="s">
        <v>46</v>
      </c>
      <c r="B55" s="115">
        <f>IF(B24=4,IF(C37=1,1,0),0)</f>
        <v>0</v>
      </c>
      <c r="D55" s="168">
        <f>IF(D24=4,IF(C37=1,1,0),0)</f>
        <v>0</v>
      </c>
      <c r="E55" s="115">
        <f>IF(E24=4,IF(F37=1,1,0),0)</f>
        <v>0</v>
      </c>
      <c r="G55" s="168">
        <f>IF(G24=4,IF(F37=1,1,0),0)</f>
        <v>0</v>
      </c>
      <c r="H55" s="115">
        <f>IF(H24=4,IF(I37=1,1,0),0)</f>
        <v>0</v>
      </c>
      <c r="J55" s="168">
        <f>IF(J24=4,IF(I37=1,1,0),0)</f>
        <v>0</v>
      </c>
      <c r="K55" s="115">
        <f>IF(K24=4,IF(L37=1,1,0),0)</f>
        <v>0</v>
      </c>
      <c r="M55" s="168">
        <f>IF(M24=4,IF(L37=1,1,0),0)</f>
        <v>0</v>
      </c>
      <c r="N55" s="115">
        <f>IF(N24=4,IF(O37=1,1,0),0)</f>
        <v>0</v>
      </c>
      <c r="P55" s="168">
        <f>IF(P24=4,IF(O37=1,1,0),0)</f>
        <v>0</v>
      </c>
      <c r="Q55" s="115">
        <f>IF(Q24=4,IF(R37=1,1,0),0)</f>
        <v>0</v>
      </c>
      <c r="S55" s="168">
        <f>IF(S24=4,IF(R37=1,1,0),0)</f>
        <v>0</v>
      </c>
      <c r="T55" s="115">
        <f>IF(T24=4,IF(U37=1,1,0),0)</f>
        <v>0</v>
      </c>
      <c r="V55" s="168">
        <f>IF(V24=4,IF(U37=1,1,0),0)</f>
        <v>0</v>
      </c>
      <c r="W55" s="115">
        <f>IF(W24=4,IF(X37=1,1,0),0)</f>
        <v>0</v>
      </c>
      <c r="Y55" s="168">
        <f>IF(Y24=4,IF(X37=1,1,0),0)</f>
        <v>0</v>
      </c>
      <c r="Z55" s="115">
        <f>IF(Z24=4,IF(AA37=1,1,0),0)</f>
        <v>0</v>
      </c>
      <c r="AB55" s="168">
        <f>IF(AB24=4,IF(AA37=1,1,0),0)</f>
        <v>0</v>
      </c>
      <c r="AC55" s="115">
        <f>IF(AC24=4,IF(AD37=1,1,0),0)</f>
        <v>0</v>
      </c>
      <c r="AE55" s="168">
        <f>IF(AE24=4,IF(AD37=1,1,0),0)</f>
        <v>0</v>
      </c>
      <c r="AF55" s="115">
        <f>SUM(B55:AE55)</f>
        <v>0</v>
      </c>
      <c r="AT55" s="513"/>
      <c r="AU55" s="513"/>
      <c r="AV55" s="513"/>
      <c r="AW55" s="514"/>
      <c r="AX55" s="513"/>
      <c r="AY55" s="513"/>
    </row>
    <row r="56" spans="1:51" s="115" customFormat="1" ht="12.75" hidden="1" customHeight="1">
      <c r="A56" s="115" t="s">
        <v>47</v>
      </c>
      <c r="B56" s="115">
        <f>IF(B24=5,IF(C37=1,1,0),0)</f>
        <v>0</v>
      </c>
      <c r="D56" s="168">
        <f>IF(D24=5,IF(C37=1,1,0),0)</f>
        <v>0</v>
      </c>
      <c r="E56" s="115">
        <f>IF(E24=5,IF(F37=1,1,0),0)</f>
        <v>0</v>
      </c>
      <c r="G56" s="168">
        <f>IF(G24=5,IF(F37=1,1,0),0)</f>
        <v>0</v>
      </c>
      <c r="H56" s="115">
        <f>IF(H24=5,IF(I37=1,1,0),0)</f>
        <v>0</v>
      </c>
      <c r="J56" s="168">
        <f>IF(J24=5,IF(I37=1,1,0),0)</f>
        <v>0</v>
      </c>
      <c r="K56" s="115">
        <f>IF(K24=5,IF(L37=1,1,0),0)</f>
        <v>0</v>
      </c>
      <c r="M56" s="168">
        <f>IF(M24=5,IF(L37=1,1,0),0)</f>
        <v>0</v>
      </c>
      <c r="N56" s="115">
        <f>IF(N24=5,IF(O37=1,1,0),0)</f>
        <v>0</v>
      </c>
      <c r="P56" s="168">
        <f>IF(P24=5,IF(O37=1,1,0),0)</f>
        <v>0</v>
      </c>
      <c r="Q56" s="115">
        <f>IF(Q24=5,IF(R37=1,1,0),0)</f>
        <v>0</v>
      </c>
      <c r="S56" s="168">
        <f>IF(S24=5,IF(R37=1,1,0),0)</f>
        <v>0</v>
      </c>
      <c r="T56" s="115">
        <f>IF(T24=5,IF(U37=1,1,0),0)</f>
        <v>0</v>
      </c>
      <c r="V56" s="168">
        <f>IF(V24=5,IF(U37=1,1,0),0)</f>
        <v>0</v>
      </c>
      <c r="W56" s="115">
        <f>IF(W24=5,IF(X37=1,1,0),0)</f>
        <v>0</v>
      </c>
      <c r="Y56" s="168">
        <f>IF(Y24=5,IF(X37=1,1,0),0)</f>
        <v>0</v>
      </c>
      <c r="Z56" s="115">
        <f>IF(Z24=5,IF(AA37=1,1,0),0)</f>
        <v>0</v>
      </c>
      <c r="AB56" s="168">
        <f>IF(AB24=5,IF(AA37=1,1,0),0)</f>
        <v>0</v>
      </c>
      <c r="AC56" s="115">
        <f>IF(AC24=5,IF(AD37=1,1,0),0)</f>
        <v>0</v>
      </c>
      <c r="AE56" s="168">
        <f>IF(AE24=5,IF(AD37=1,1,0),0)</f>
        <v>0</v>
      </c>
      <c r="AF56" s="115">
        <f>SUM(B56:AE56)</f>
        <v>0</v>
      </c>
      <c r="AT56" s="513"/>
      <c r="AU56" s="513"/>
      <c r="AV56" s="513"/>
      <c r="AW56" s="514"/>
      <c r="AX56" s="513"/>
      <c r="AY56" s="513"/>
    </row>
    <row r="57" spans="1:51" s="115" customFormat="1" ht="38.25" hidden="1" customHeight="1">
      <c r="A57" s="167"/>
      <c r="D57" s="168"/>
      <c r="G57" s="168"/>
      <c r="J57" s="168"/>
      <c r="M57" s="168"/>
      <c r="P57" s="168"/>
      <c r="S57" s="168"/>
      <c r="V57" s="168"/>
      <c r="Y57" s="168"/>
      <c r="AB57" s="168"/>
      <c r="AE57" s="168"/>
      <c r="AF57" s="167" t="s">
        <v>218</v>
      </c>
      <c r="AG57" s="392"/>
      <c r="AH57" s="392"/>
      <c r="AI57" s="392"/>
      <c r="AJ57" s="392"/>
      <c r="AK57" s="392"/>
      <c r="AT57" s="513"/>
      <c r="AU57" s="513"/>
      <c r="AV57" s="513"/>
      <c r="AW57" s="514"/>
      <c r="AX57" s="513"/>
      <c r="AY57" s="513"/>
    </row>
    <row r="58" spans="1:51" s="115" customFormat="1" ht="12.75" hidden="1" customHeight="1">
      <c r="A58" s="115" t="s">
        <v>43</v>
      </c>
      <c r="B58" s="115">
        <f>IF(B24=1,B44,0)</f>
        <v>51</v>
      </c>
      <c r="D58" s="168">
        <f>IF(D24=1,B44,0)</f>
        <v>0</v>
      </c>
      <c r="E58" s="115">
        <f>IF(E24=1,E44,0)</f>
        <v>0</v>
      </c>
      <c r="G58" s="168">
        <f>IF(G24=1,E44,0)</f>
        <v>0</v>
      </c>
      <c r="H58" s="115">
        <f>IF(H24=1,H44,0)</f>
        <v>47</v>
      </c>
      <c r="J58" s="168">
        <f>IF(J24=1,H44,0)</f>
        <v>0</v>
      </c>
      <c r="K58" s="115">
        <f>IF(K24=1,K44,0)</f>
        <v>0</v>
      </c>
      <c r="M58" s="168">
        <f>IF(M24=1,K44,0)</f>
        <v>0</v>
      </c>
      <c r="N58" s="115">
        <f>IF(N24=1,N44,0)</f>
        <v>0</v>
      </c>
      <c r="P58" s="168">
        <f>IF(P24=1,N44,0)</f>
        <v>0</v>
      </c>
      <c r="Q58" s="115">
        <f>IF(Q24=1,Q44,0)</f>
        <v>0</v>
      </c>
      <c r="S58" s="168">
        <f>IF(S24=1,Q44,0)</f>
        <v>0</v>
      </c>
      <c r="T58" s="115">
        <f>IF(T24=1,T44,0)</f>
        <v>0</v>
      </c>
      <c r="V58" s="168">
        <f>IF(V24=1,T44,0)</f>
        <v>0</v>
      </c>
      <c r="W58" s="115">
        <f>IF(W24=1,W44,0)</f>
        <v>0</v>
      </c>
      <c r="Y58" s="168">
        <f>IF(Y24=1,W44,0)</f>
        <v>0</v>
      </c>
      <c r="Z58" s="115">
        <f>IF(Z24=1,Z44,0)</f>
        <v>0</v>
      </c>
      <c r="AB58" s="168">
        <f>IF(AB24=1,Z44,0)</f>
        <v>0</v>
      </c>
      <c r="AC58" s="115">
        <f>IF(AC24=1,AC44,0)</f>
        <v>0</v>
      </c>
      <c r="AE58" s="168">
        <f>IF(AE24=1,AC44,0)</f>
        <v>0</v>
      </c>
      <c r="AF58" s="115">
        <f>SUM(B58:AE58)</f>
        <v>98</v>
      </c>
      <c r="AT58" s="513"/>
      <c r="AU58" s="513"/>
      <c r="AV58" s="513"/>
      <c r="AW58" s="514"/>
      <c r="AX58" s="513"/>
      <c r="AY58" s="513"/>
    </row>
    <row r="59" spans="1:51" s="115" customFormat="1" ht="12.75" hidden="1" customHeight="1">
      <c r="A59" s="115" t="s">
        <v>44</v>
      </c>
      <c r="B59" s="115">
        <f>IF(B24=2,B44,0)</f>
        <v>0</v>
      </c>
      <c r="D59" s="168">
        <f>IF(D24=2,B44,0)</f>
        <v>51</v>
      </c>
      <c r="E59" s="115">
        <f>IF(E24=2,E44,0)</f>
        <v>41</v>
      </c>
      <c r="G59" s="168">
        <f>IF(G24=2,E44,0)</f>
        <v>0</v>
      </c>
      <c r="H59" s="115">
        <f>IF(H24=2,H44,0)</f>
        <v>0</v>
      </c>
      <c r="J59" s="168">
        <f>IF(J24=2,H44,0)</f>
        <v>0</v>
      </c>
      <c r="K59" s="115">
        <f>IF(K24=2,K44,0)</f>
        <v>0</v>
      </c>
      <c r="M59" s="168">
        <f>IF(M24=2,K44,0)</f>
        <v>0</v>
      </c>
      <c r="N59" s="115">
        <f>IF(N24=2,N44,0)</f>
        <v>0</v>
      </c>
      <c r="P59" s="168">
        <f>IF(P24=2,N44,0)</f>
        <v>0</v>
      </c>
      <c r="Q59" s="115">
        <f>IF(Q24=2,Q44,0)</f>
        <v>0</v>
      </c>
      <c r="S59" s="168">
        <f>IF(S24=2,Q44,0)</f>
        <v>0</v>
      </c>
      <c r="T59" s="115">
        <f>IF(T24=2,T44,0)</f>
        <v>0</v>
      </c>
      <c r="V59" s="168">
        <f>IF(V24=2,T44,0)</f>
        <v>0</v>
      </c>
      <c r="W59" s="115">
        <f>IF(W24=2,W44,0)</f>
        <v>0</v>
      </c>
      <c r="Y59" s="168">
        <f>IF(Y24=2,W44,0)</f>
        <v>0</v>
      </c>
      <c r="Z59" s="115">
        <f>IF(Z24=2,Z44,0)</f>
        <v>0</v>
      </c>
      <c r="AB59" s="168">
        <f>IF(AB24=2,Z44,0)</f>
        <v>0</v>
      </c>
      <c r="AC59" s="115">
        <f>IF(AC24=2,AC44,0)</f>
        <v>0</v>
      </c>
      <c r="AE59" s="168">
        <f>IF(AE24=2,AC44,0)</f>
        <v>0</v>
      </c>
      <c r="AF59" s="115">
        <f>SUM(B59:AE59)</f>
        <v>92</v>
      </c>
      <c r="AT59" s="513"/>
      <c r="AU59" s="513"/>
      <c r="AV59" s="513"/>
      <c r="AW59" s="514"/>
      <c r="AX59" s="513"/>
      <c r="AY59" s="513"/>
    </row>
    <row r="60" spans="1:51" s="115" customFormat="1" ht="12.75" hidden="1" customHeight="1">
      <c r="A60" s="115" t="s">
        <v>45</v>
      </c>
      <c r="B60" s="115">
        <f>IF(B24=3,B44,0)</f>
        <v>0</v>
      </c>
      <c r="D60" s="168">
        <f>IF(D24=3,B44,0)</f>
        <v>0</v>
      </c>
      <c r="E60" s="115">
        <f>IF(E24=3,E44,0)</f>
        <v>0</v>
      </c>
      <c r="G60" s="168">
        <f>IF(G24=3,E44,0)</f>
        <v>41</v>
      </c>
      <c r="H60" s="115">
        <f>IF(H24=3,H44,0)</f>
        <v>0</v>
      </c>
      <c r="J60" s="168">
        <f>IF(J24=3,H44,0)</f>
        <v>47</v>
      </c>
      <c r="K60" s="115">
        <f>IF(K24=3,K44,0)</f>
        <v>0</v>
      </c>
      <c r="M60" s="168">
        <f>IF(M24=3,K44,0)</f>
        <v>0</v>
      </c>
      <c r="N60" s="115">
        <f>IF(N24=3,N44,0)</f>
        <v>0</v>
      </c>
      <c r="P60" s="168">
        <f>IF(P24=3,N44,0)</f>
        <v>0</v>
      </c>
      <c r="Q60" s="115">
        <f>IF(Q24=3,Q44,0)</f>
        <v>0</v>
      </c>
      <c r="S60" s="168">
        <f>IF(S24=3,Q44,0)</f>
        <v>0</v>
      </c>
      <c r="T60" s="115">
        <f>IF(T24=3,T44,0)</f>
        <v>0</v>
      </c>
      <c r="V60" s="168">
        <f>IF(V24=3,T44,0)</f>
        <v>0</v>
      </c>
      <c r="W60" s="115">
        <f>IF(W24=3,W44,0)</f>
        <v>0</v>
      </c>
      <c r="Y60" s="168">
        <f>IF(Y24=3,W44,0)</f>
        <v>0</v>
      </c>
      <c r="Z60" s="115">
        <f>IF(Z24=3,Z44,0)</f>
        <v>0</v>
      </c>
      <c r="AB60" s="168">
        <f>IF(AB24=3,Z44,0)</f>
        <v>0</v>
      </c>
      <c r="AC60" s="115">
        <f>IF(AC24=3,AC44,0)</f>
        <v>0</v>
      </c>
      <c r="AE60" s="168">
        <f>IF(AE24=3,AC44,0)</f>
        <v>0</v>
      </c>
      <c r="AF60" s="115">
        <f>SUM(B60:AE60)</f>
        <v>88</v>
      </c>
      <c r="AT60" s="513"/>
      <c r="AU60" s="513"/>
      <c r="AV60" s="513"/>
      <c r="AW60" s="514"/>
      <c r="AX60" s="513"/>
      <c r="AY60" s="513"/>
    </row>
    <row r="61" spans="1:51" s="115" customFormat="1" ht="12.75" hidden="1" customHeight="1">
      <c r="A61" s="115" t="s">
        <v>46</v>
      </c>
      <c r="B61" s="115">
        <f>IF(B24=4,B44,0)</f>
        <v>0</v>
      </c>
      <c r="D61" s="168">
        <f>IF(D24=4,B44,0)</f>
        <v>0</v>
      </c>
      <c r="E61" s="115">
        <f>IF(E24=4,E44,0)</f>
        <v>0</v>
      </c>
      <c r="G61" s="168">
        <f>IF(G24=4,E44,0)</f>
        <v>0</v>
      </c>
      <c r="H61" s="115">
        <f>IF(H24=4,H44,0)</f>
        <v>0</v>
      </c>
      <c r="J61" s="168">
        <f>IF(J24=4,H44,0)</f>
        <v>0</v>
      </c>
      <c r="K61" s="115">
        <f>IF(K24=4,K44,0)</f>
        <v>0</v>
      </c>
      <c r="M61" s="168">
        <f>IF(M24=4,K44,0)</f>
        <v>0</v>
      </c>
      <c r="N61" s="115">
        <f>IF(N24=4,N44,0)</f>
        <v>0</v>
      </c>
      <c r="P61" s="168">
        <f>IF(P24=4,N44,0)</f>
        <v>0</v>
      </c>
      <c r="Q61" s="115">
        <f>IF(Q24=4,Q44,0)</f>
        <v>0</v>
      </c>
      <c r="S61" s="168">
        <f>IF(S24=4,Q44,0)</f>
        <v>0</v>
      </c>
      <c r="T61" s="115">
        <f>IF(T24=4,T44,0)</f>
        <v>0</v>
      </c>
      <c r="V61" s="168">
        <f>IF(V24=4,T44,0)</f>
        <v>0</v>
      </c>
      <c r="W61" s="115">
        <f>IF(W24=4,W44,0)</f>
        <v>0</v>
      </c>
      <c r="Y61" s="168">
        <f>IF(Y24=4,W44,0)</f>
        <v>0</v>
      </c>
      <c r="Z61" s="115">
        <f>IF(Z24=4,Z44,0)</f>
        <v>0</v>
      </c>
      <c r="AB61" s="168">
        <f>IF(AB24=4,Z44,0)</f>
        <v>0</v>
      </c>
      <c r="AC61" s="115">
        <f>IF(AC24=4,AC44,0)</f>
        <v>0</v>
      </c>
      <c r="AE61" s="168">
        <f>IF(AE24=4,AC44,0)</f>
        <v>0</v>
      </c>
      <c r="AF61" s="115">
        <f>SUM(B61:AE61)</f>
        <v>0</v>
      </c>
      <c r="AT61" s="513"/>
      <c r="AU61" s="513"/>
      <c r="AV61" s="513"/>
      <c r="AW61" s="514"/>
      <c r="AX61" s="513"/>
      <c r="AY61" s="513"/>
    </row>
    <row r="62" spans="1:51" s="115" customFormat="1" ht="12.75" hidden="1" customHeight="1">
      <c r="A62" s="115" t="s">
        <v>47</v>
      </c>
      <c r="B62" s="115">
        <f>IF(B24=5,B44,0)</f>
        <v>0</v>
      </c>
      <c r="D62" s="168">
        <f>IF(D24=5,B44,0)</f>
        <v>0</v>
      </c>
      <c r="E62" s="115">
        <f>IF(E24=5,E44,0)</f>
        <v>0</v>
      </c>
      <c r="G62" s="168">
        <f>IF(G24=5,E44,0)</f>
        <v>0</v>
      </c>
      <c r="H62" s="115">
        <f>IF(H24=5,H44,0)</f>
        <v>0</v>
      </c>
      <c r="J62" s="168">
        <f>IF(J24=5,H44,0)</f>
        <v>0</v>
      </c>
      <c r="K62" s="115">
        <f>IF(K24=5,K44,0)</f>
        <v>0</v>
      </c>
      <c r="M62" s="168">
        <f>IF(M24=5,K44,0)</f>
        <v>0</v>
      </c>
      <c r="N62" s="115">
        <f>IF(N24=5,N44,0)</f>
        <v>0</v>
      </c>
      <c r="P62" s="168">
        <f>IF(P24=5,N44,0)</f>
        <v>0</v>
      </c>
      <c r="Q62" s="115">
        <f>IF(Q24=5,Q44,0)</f>
        <v>0</v>
      </c>
      <c r="S62" s="168">
        <f>IF(S24=5,Q44,0)</f>
        <v>0</v>
      </c>
      <c r="T62" s="115">
        <f>IF(T24=5,T44,0)</f>
        <v>0</v>
      </c>
      <c r="V62" s="168">
        <f>IF(V24=5,T44,0)</f>
        <v>0</v>
      </c>
      <c r="W62" s="115">
        <f>IF(W24=5,W44,0)</f>
        <v>0</v>
      </c>
      <c r="Y62" s="168">
        <f>IF(Y24=5,W44,0)</f>
        <v>0</v>
      </c>
      <c r="Z62" s="115">
        <f>IF(Z24=5,Z44,0)</f>
        <v>0</v>
      </c>
      <c r="AB62" s="168">
        <f>IF(AB24=5,Z44,0)</f>
        <v>0</v>
      </c>
      <c r="AC62" s="115">
        <f>IF(AC24=5,AC44,0)</f>
        <v>0</v>
      </c>
      <c r="AE62" s="168">
        <f>IF(AE24=5,AC44,0)</f>
        <v>0</v>
      </c>
      <c r="AF62" s="115">
        <f>SUM(B62:AE62)</f>
        <v>0</v>
      </c>
      <c r="AT62" s="513"/>
      <c r="AU62" s="513"/>
      <c r="AV62" s="513"/>
      <c r="AW62" s="514"/>
      <c r="AX62" s="513"/>
      <c r="AY62" s="513"/>
    </row>
    <row r="63" spans="1:51" s="115" customFormat="1" ht="38.25" hidden="1" customHeight="1">
      <c r="A63" s="115" t="s">
        <v>48</v>
      </c>
      <c r="D63" s="168"/>
      <c r="G63" s="168"/>
      <c r="J63" s="168"/>
      <c r="M63" s="168"/>
      <c r="P63" s="168"/>
      <c r="S63" s="168"/>
      <c r="V63" s="168"/>
      <c r="Y63" s="168"/>
      <c r="AB63" s="168"/>
      <c r="AE63" s="168"/>
      <c r="AF63" s="167" t="s">
        <v>219</v>
      </c>
      <c r="AG63" s="115" t="s">
        <v>220</v>
      </c>
      <c r="AT63" s="513"/>
      <c r="AU63" s="513"/>
      <c r="AV63" s="513"/>
      <c r="AW63" s="514"/>
      <c r="AX63" s="513"/>
      <c r="AY63" s="513"/>
    </row>
    <row r="64" spans="1:51" s="115" customFormat="1" ht="12.75" hidden="1" customHeight="1">
      <c r="A64" s="115" t="s">
        <v>38</v>
      </c>
      <c r="B64" s="115">
        <f>IF(B24=1,SUMIF(B31:B35,"&gt;0"),0)</f>
        <v>0</v>
      </c>
      <c r="D64" s="168">
        <f>IF(D24=1,SUMIF(D31:D35,"&gt;0"),0)</f>
        <v>0</v>
      </c>
      <c r="E64" s="115">
        <f>IF(E24=1,SUMIF(E31:E35,"&gt;0"),0)</f>
        <v>0</v>
      </c>
      <c r="G64" s="168">
        <f>IF(G24=1,SUMIF(G31:G35,"&gt;0"),0)</f>
        <v>0</v>
      </c>
      <c r="H64" s="115">
        <f>IF(H24=1,SUMIF(H31:H35,"&gt;0"),0)</f>
        <v>1</v>
      </c>
      <c r="J64" s="168">
        <f>IF(J24=1,SUMIF(J31:J35,"&gt;0"),0)</f>
        <v>0</v>
      </c>
      <c r="K64" s="115">
        <f>IF(K24=1,SUMIF(K31:K35,"&gt;0"),0)</f>
        <v>0</v>
      </c>
      <c r="M64" s="168">
        <f>IF(M24=1,SUMIF(M31:M35,"&gt;0"),0)</f>
        <v>0</v>
      </c>
      <c r="N64" s="115">
        <f>IF(N24=1,SUMIF(N31:N35,"&gt;0"),0)</f>
        <v>0</v>
      </c>
      <c r="P64" s="168">
        <f>IF(P24=1,SUMIF(P31:P35,"&gt;0"),0)</f>
        <v>0</v>
      </c>
      <c r="Q64" s="115">
        <f>IF(Q24=1,SUMIF(Q31:Q35,"&gt;0"),0)</f>
        <v>0</v>
      </c>
      <c r="S64" s="168">
        <f>IF(S24=1,SUMIF(S31:S35,"&gt;0"),0)</f>
        <v>0</v>
      </c>
      <c r="T64" s="115">
        <f>IF(T24=1,SUMIF(T31:T35,"&gt;0"),0)</f>
        <v>0</v>
      </c>
      <c r="V64" s="168">
        <f>IF(V24=1,SUMIF(V31:V35,"&gt;0"),0)</f>
        <v>0</v>
      </c>
      <c r="W64" s="115">
        <f>IF(W24=1,SUMIF(W31:W35,"&gt;0"),0)</f>
        <v>0</v>
      </c>
      <c r="Y64" s="168">
        <f>IF(Y24=1,SUMIF(Y31:Y35,"&gt;0"),0)</f>
        <v>0</v>
      </c>
      <c r="Z64" s="115">
        <f>IF(Z24=1,SUMIF(Z31:Z35,"&gt;0"),0)</f>
        <v>0</v>
      </c>
      <c r="AB64" s="168">
        <f>IF(AB24=1,SUMIF(AB31:AB35,"&gt;0"),0)</f>
        <v>0</v>
      </c>
      <c r="AC64" s="115">
        <f>IF(AC24=1,SUMIF(AC31:AC35,"&gt;0"),0)</f>
        <v>0</v>
      </c>
      <c r="AE64" s="168">
        <f>IF(AE24=1,SUMIF(AE31:AE35,"&gt;0"),0)</f>
        <v>0</v>
      </c>
      <c r="AF64" s="115">
        <f>SUM(B64:AE64)</f>
        <v>1</v>
      </c>
      <c r="AG64" s="115">
        <f>AF72-AF64</f>
        <v>3</v>
      </c>
      <c r="AT64" s="513"/>
      <c r="AU64" s="513"/>
      <c r="AV64" s="513"/>
      <c r="AW64" s="514"/>
      <c r="AX64" s="513"/>
      <c r="AY64" s="513"/>
    </row>
    <row r="65" spans="1:54" s="115" customFormat="1" ht="12.75" hidden="1" customHeight="1">
      <c r="A65" s="115" t="s">
        <v>39</v>
      </c>
      <c r="B65" s="115">
        <f>IF(B24=2,SUMIF(B31:B35,"&gt;0"),0)</f>
        <v>0</v>
      </c>
      <c r="D65" s="168">
        <f>IF(D24=2,SUMIF(D31:D35,"&gt;0"),0)</f>
        <v>2</v>
      </c>
      <c r="E65" s="115">
        <f>IF(E24=2,SUMIF(E31:E35,"&gt;0"),0)</f>
        <v>1</v>
      </c>
      <c r="G65" s="168">
        <f>IF(G24=2,SUMIF(G31:G35,"&gt;0"),0)</f>
        <v>0</v>
      </c>
      <c r="H65" s="115">
        <f>IF(H24=2,SUMIF(H31:H35,"&gt;0"),0)</f>
        <v>0</v>
      </c>
      <c r="J65" s="168">
        <f>IF(J24=2,SUMIF(J31:J35,"&gt;0"),0)</f>
        <v>0</v>
      </c>
      <c r="K65" s="115">
        <f>IF(K24=2,SUMIF(K31:K35,"&gt;0"),0)</f>
        <v>0</v>
      </c>
      <c r="M65" s="168">
        <f>IF(M24=2,SUMIF(M31:M35,"&gt;0"),0)</f>
        <v>0</v>
      </c>
      <c r="N65" s="115">
        <f>IF(N24=2,SUMIF(N31:N35,"&gt;0"),0)</f>
        <v>0</v>
      </c>
      <c r="P65" s="168">
        <f>IF(P24=2,SUMIF(P31:P35,"&gt;0"),0)</f>
        <v>0</v>
      </c>
      <c r="Q65" s="115">
        <f>IF(Q24=2,SUMIF(Q31:Q35,"&gt;0"),0)</f>
        <v>0</v>
      </c>
      <c r="S65" s="168">
        <f>IF(S24=2,SUMIF(S31:S35,"&gt;0"),0)</f>
        <v>0</v>
      </c>
      <c r="T65" s="115">
        <f>IF(T24=2,SUMIF(T31:T35,"&gt;0"),0)</f>
        <v>0</v>
      </c>
      <c r="V65" s="168">
        <f>IF(V24=2,SUMIF(V31:V35,"&gt;0"),0)</f>
        <v>0</v>
      </c>
      <c r="W65" s="115">
        <f>IF(W24=2,SUMIF(W31:W35,"&gt;0"),0)</f>
        <v>0</v>
      </c>
      <c r="Y65" s="168">
        <f>IF(Y24=2,SUMIF(Y31:Y35,"&gt;0"),0)</f>
        <v>0</v>
      </c>
      <c r="Z65" s="115">
        <f>IF(Z24=2,SUMIF(Z31:Z35,"&gt;0"),0)</f>
        <v>0</v>
      </c>
      <c r="AB65" s="168">
        <f>IF(AB24=2,SUMIF(AB31:AB35,"&gt;0"),0)</f>
        <v>0</v>
      </c>
      <c r="AC65" s="115">
        <f>IF(AC24=2,SUMIF(AC31:AC35,"&gt;0"),0)</f>
        <v>0</v>
      </c>
      <c r="AE65" s="168">
        <f>IF(AE24=2,SUMIF(AE31:AE35,"&gt;0"),0)</f>
        <v>0</v>
      </c>
      <c r="AF65" s="115">
        <f>SUM(B65:AE65)</f>
        <v>3</v>
      </c>
      <c r="AG65" s="115">
        <f>AF73-AF65</f>
        <v>1</v>
      </c>
      <c r="AT65" s="513"/>
      <c r="AU65" s="513"/>
      <c r="AV65" s="513"/>
      <c r="AW65" s="514"/>
      <c r="AX65" s="513"/>
      <c r="AY65" s="513"/>
    </row>
    <row r="66" spans="1:54" s="115" customFormat="1" ht="12.75" hidden="1" customHeight="1">
      <c r="A66" s="115" t="s">
        <v>40</v>
      </c>
      <c r="B66" s="115">
        <f>IF(B24=3,SUMIF(B31:B35,"&gt;0"),0)</f>
        <v>0</v>
      </c>
      <c r="D66" s="168">
        <f>IF(D24=3,SUMIF(D31:D35,"&gt;0"),0)</f>
        <v>0</v>
      </c>
      <c r="E66" s="115">
        <f>IF(E24=3,SUMIF(E31:E35,"&gt;0"),0)</f>
        <v>0</v>
      </c>
      <c r="G66" s="168">
        <f>IF(G24=3,SUMIF(G31:G35,"&gt;0"),0)</f>
        <v>1</v>
      </c>
      <c r="H66" s="115">
        <f>IF(H24=3,SUMIF(H31:H35,"&gt;0"),0)</f>
        <v>0</v>
      </c>
      <c r="J66" s="168">
        <f>IF(J24=3,SUMIF(J31:J35,"&gt;0"),0)</f>
        <v>1</v>
      </c>
      <c r="K66" s="115">
        <f>IF(K24=3,SUMIF(K31:K35,"&gt;0"),0)</f>
        <v>0</v>
      </c>
      <c r="M66" s="168">
        <f>IF(M24=3,SUMIF(M31:M35,"&gt;0"),0)</f>
        <v>0</v>
      </c>
      <c r="N66" s="115">
        <f>IF(N24=3,SUMIF(N31:N35,"&gt;0"),0)</f>
        <v>0</v>
      </c>
      <c r="P66" s="168">
        <f>IF(P24=3,SUMIF(P31:P35,"&gt;0"),0)</f>
        <v>0</v>
      </c>
      <c r="Q66" s="115">
        <f>IF(Q24=3,SUMIF(Q31:Q35,"&gt;0"),0)</f>
        <v>0</v>
      </c>
      <c r="S66" s="168">
        <f>IF(S24=3,SUMIF(S31:S35,"&gt;0"),0)</f>
        <v>0</v>
      </c>
      <c r="T66" s="115">
        <f>IF(T24=3,SUMIF(T31:T35,"&gt;0"),0)</f>
        <v>0</v>
      </c>
      <c r="V66" s="168">
        <f>IF(V24=3,SUMIF(V31:V35,"&gt;0"),0)</f>
        <v>0</v>
      </c>
      <c r="W66" s="115">
        <f>IF(W24=3,SUMIF(W31:W35,"&gt;0"),0)</f>
        <v>0</v>
      </c>
      <c r="Y66" s="168">
        <f>IF(Y24=3,SUMIF(Y31:Y35,"&gt;0"),0)</f>
        <v>0</v>
      </c>
      <c r="Z66" s="115">
        <f>IF(Z24=3,SUMIF(Z31:Z35,"&gt;0"),0)</f>
        <v>0</v>
      </c>
      <c r="AB66" s="168">
        <f>IF(AB24=3,SUMIF(AB31:AB35,"&gt;0"),0)</f>
        <v>0</v>
      </c>
      <c r="AC66" s="115">
        <f>IF(AC24=3,SUMIF(AC31:AC35,"&gt;0"),0)</f>
        <v>0</v>
      </c>
      <c r="AE66" s="168">
        <f>IF(AE24=3,SUMIF(AE31:AE35,"&gt;0"),0)</f>
        <v>0</v>
      </c>
      <c r="AF66" s="115">
        <f>SUM(B66:AE66)</f>
        <v>2</v>
      </c>
      <c r="AG66" s="115">
        <f>AF74-AF66</f>
        <v>2</v>
      </c>
      <c r="AT66" s="513"/>
      <c r="AU66" s="513"/>
      <c r="AV66" s="513"/>
      <c r="AW66" s="514"/>
      <c r="AX66" s="513"/>
      <c r="AY66" s="513"/>
    </row>
    <row r="67" spans="1:54" s="115" customFormat="1" ht="12.75" hidden="1" customHeight="1">
      <c r="A67" s="115" t="s">
        <v>41</v>
      </c>
      <c r="B67" s="115">
        <f>IF(B24=4,SUMIF(B31:B35,"&gt;0"),0)</f>
        <v>0</v>
      </c>
      <c r="D67" s="168">
        <f>IF(D24=4,SUMIF(D31:D35,"&gt;0"),0)</f>
        <v>0</v>
      </c>
      <c r="E67" s="115">
        <f>IF(E24=4,SUMIF(E31:E35,"&gt;0"),0)</f>
        <v>0</v>
      </c>
      <c r="G67" s="168">
        <f>IF(G24=4,SUMIF(G31:G35,"&gt;0"),0)</f>
        <v>0</v>
      </c>
      <c r="H67" s="115">
        <f>IF(H24=4,SUMIF(H31:H35,"&gt;0"),0)</f>
        <v>0</v>
      </c>
      <c r="J67" s="168">
        <f>IF(J24=4,SUMIF(J31:J35,"&gt;0"),0)</f>
        <v>0</v>
      </c>
      <c r="K67" s="115">
        <f>IF(K24=4,SUMIF(K31:K35,"&gt;0"),0)</f>
        <v>0</v>
      </c>
      <c r="M67" s="168">
        <f>IF(M24=4,SUMIF(M31:M35,"&gt;0"),0)</f>
        <v>0</v>
      </c>
      <c r="N67" s="115">
        <f>IF(N24=4,SUMIF(N31:N35,"&gt;0"),0)</f>
        <v>0</v>
      </c>
      <c r="P67" s="168">
        <f>IF(P24=4,SUMIF(P31:P35,"&gt;0"),0)</f>
        <v>0</v>
      </c>
      <c r="Q67" s="115">
        <f>IF(Q24=4,SUMIF(Q31:Q35,"&gt;0"),0)</f>
        <v>0</v>
      </c>
      <c r="S67" s="168">
        <f>IF(S24=4,SUMIF(S31:S35,"&gt;0"),0)</f>
        <v>0</v>
      </c>
      <c r="T67" s="115">
        <f>IF(T24=4,SUMIF(T31:T35,"&gt;0"),0)</f>
        <v>0</v>
      </c>
      <c r="V67" s="168">
        <f>IF(V24=4,SUMIF(V31:V35,"&gt;0"),0)</f>
        <v>0</v>
      </c>
      <c r="W67" s="115">
        <f>IF(W24=4,SUMIF(W31:W35,"&gt;0"),0)</f>
        <v>0</v>
      </c>
      <c r="Y67" s="168">
        <f>IF(Y24=4,SUMIF(Y31:Y35,"&gt;0"),0)</f>
        <v>0</v>
      </c>
      <c r="Z67" s="115">
        <f>IF(Z24=4,SUMIF(Z31:Z35,"&gt;0"),0)</f>
        <v>0</v>
      </c>
      <c r="AB67" s="168">
        <f>IF(AB24=4,SUMIF(AB31:AB35,"&gt;0"),0)</f>
        <v>0</v>
      </c>
      <c r="AC67" s="115">
        <f>IF(AC24=4,SUMIF(AC31:AC35,"&gt;0"),0)</f>
        <v>0</v>
      </c>
      <c r="AE67" s="168">
        <f>IF(AE24=4,SUMIF(AE31:AE35,"&gt;0"),0)</f>
        <v>0</v>
      </c>
      <c r="AF67" s="115">
        <f>SUM(B67:AE67)</f>
        <v>0</v>
      </c>
      <c r="AG67" s="115">
        <f>AF75-AF67</f>
        <v>0</v>
      </c>
      <c r="AT67" s="513"/>
      <c r="AU67" s="513"/>
      <c r="AV67" s="513"/>
      <c r="AW67" s="514"/>
      <c r="AX67" s="513"/>
      <c r="AY67" s="513"/>
    </row>
    <row r="68" spans="1:54" s="115" customFormat="1" ht="12.75" hidden="1" customHeight="1">
      <c r="A68" s="115" t="s">
        <v>42</v>
      </c>
      <c r="B68" s="115">
        <f>IF(B24=5,SUMIF(B31:B35,"&gt;0"),0)</f>
        <v>0</v>
      </c>
      <c r="D68" s="168">
        <f>IF(D24=5,SUMIF(D31:D35,"&gt;0"),0)</f>
        <v>0</v>
      </c>
      <c r="E68" s="115">
        <f>IF(E24=5,SUMIF(E31:E35,"&gt;0"),0)</f>
        <v>0</v>
      </c>
      <c r="G68" s="168">
        <f>IF(G24=5,SUMIF(G31:G35,"&gt;0"),0)</f>
        <v>0</v>
      </c>
      <c r="H68" s="115">
        <f>IF(H24=5,SUMIF(H31:H35,"&gt;0"),0)</f>
        <v>0</v>
      </c>
      <c r="J68" s="168">
        <f>IF(J24=5,SUMIF(J31:J35,"&gt;0"),0)</f>
        <v>0</v>
      </c>
      <c r="K68" s="115">
        <f>IF(K24=5,SUMIF(K31:K35,"&gt;0"),0)</f>
        <v>0</v>
      </c>
      <c r="M68" s="168">
        <f>IF(M24=5,SUMIF(M31:M35,"&gt;0"),0)</f>
        <v>0</v>
      </c>
      <c r="N68" s="115">
        <f>IF(N24=5,SUMIF(N31:N35,"&gt;0"),0)</f>
        <v>0</v>
      </c>
      <c r="P68" s="168">
        <f>IF(P24=5,SUMIF(P31:P35,"&gt;0"),0)</f>
        <v>0</v>
      </c>
      <c r="Q68" s="115">
        <f>IF(Q24=5,SUMIF(Q31:Q35,"&gt;0"),0)</f>
        <v>0</v>
      </c>
      <c r="S68" s="168">
        <f>IF(S24=5,SUMIF(S31:S35,"&gt;0"),0)</f>
        <v>0</v>
      </c>
      <c r="T68" s="115">
        <f>IF(T24=5,SUMIF(T31:T35,"&gt;0"),0)</f>
        <v>0</v>
      </c>
      <c r="V68" s="168">
        <f>IF(V24=5,SUMIF(V31:V35,"&gt;0"),0)</f>
        <v>0</v>
      </c>
      <c r="W68" s="115">
        <f>IF(W24=5,SUMIF(W31:W35,"&gt;0"),0)</f>
        <v>0</v>
      </c>
      <c r="Y68" s="168">
        <f>IF(Y24=5,SUMIF(Y31:Y35,"&gt;0"),0)</f>
        <v>0</v>
      </c>
      <c r="Z68" s="115">
        <f>IF(Z24=5,SUMIF(Z31:Z35,"&gt;0"),0)</f>
        <v>0</v>
      </c>
      <c r="AB68" s="168">
        <f>IF(AB24=5,SUMIF(AB31:AB35,"&gt;0"),0)</f>
        <v>0</v>
      </c>
      <c r="AC68" s="115">
        <f>IF(AC24=5,SUMIF(AC31:AC35,"&gt;0"),0)</f>
        <v>0</v>
      </c>
      <c r="AE68" s="168">
        <f>IF(AE24=5,SUMIF(AE31:AE35,"&gt;0"),0)</f>
        <v>0</v>
      </c>
      <c r="AF68" s="115">
        <f>SUM(B68:AE68)</f>
        <v>0</v>
      </c>
      <c r="AG68" s="115">
        <f>AF76-AF68</f>
        <v>0</v>
      </c>
      <c r="AT68" s="513"/>
      <c r="AU68" s="513"/>
      <c r="AV68" s="513"/>
      <c r="AW68" s="514"/>
      <c r="AX68" s="513"/>
      <c r="AY68" s="513"/>
    </row>
    <row r="69" spans="1:54" s="115" customFormat="1" ht="12.75" hidden="1" customHeight="1">
      <c r="D69" s="168"/>
      <c r="G69" s="168"/>
      <c r="J69" s="168"/>
      <c r="M69" s="168"/>
      <c r="P69" s="168"/>
      <c r="S69" s="168"/>
      <c r="V69" s="168"/>
      <c r="Y69" s="168"/>
      <c r="AB69" s="168"/>
      <c r="AE69" s="168"/>
      <c r="AT69" s="513"/>
      <c r="AU69" s="513"/>
      <c r="AV69" s="513"/>
      <c r="AW69" s="514"/>
      <c r="AX69" s="513"/>
      <c r="AY69" s="513"/>
    </row>
    <row r="70" spans="1:54" s="115" customFormat="1" ht="12.75" hidden="1" customHeight="1">
      <c r="D70" s="168"/>
      <c r="G70" s="168"/>
      <c r="J70" s="168"/>
      <c r="M70" s="168"/>
      <c r="P70" s="168"/>
      <c r="S70" s="168"/>
      <c r="V70" s="168"/>
      <c r="Y70" s="168"/>
      <c r="AB70" s="168"/>
      <c r="AE70" s="168"/>
      <c r="AT70" s="513"/>
      <c r="AU70" s="513"/>
      <c r="AV70" s="513"/>
      <c r="AW70" s="514"/>
      <c r="AX70" s="513"/>
      <c r="AY70" s="513"/>
    </row>
    <row r="71" spans="1:54" s="115" customFormat="1" ht="51" hidden="1" customHeight="1">
      <c r="A71" s="167" t="s">
        <v>221</v>
      </c>
      <c r="C71" s="115">
        <f>SUMIF(B64:D68,"&gt;0")</f>
        <v>2</v>
      </c>
      <c r="D71" s="168"/>
      <c r="F71" s="115">
        <f>SUMIF(E64:G68,"&gt;0")</f>
        <v>2</v>
      </c>
      <c r="G71" s="168"/>
      <c r="I71" s="115">
        <f>SUMIF(H64:J68,"&gt;0")</f>
        <v>2</v>
      </c>
      <c r="J71" s="168"/>
      <c r="L71" s="115">
        <f>SUMIF(K64:M68,"&gt;0")</f>
        <v>0</v>
      </c>
      <c r="M71" s="168"/>
      <c r="O71" s="115">
        <f>SUMIF(N64:P68,"&gt;0")</f>
        <v>0</v>
      </c>
      <c r="P71" s="168"/>
      <c r="R71" s="115">
        <f>SUMIF(Q64:S68,"&gt;0")</f>
        <v>0</v>
      </c>
      <c r="S71" s="168"/>
      <c r="U71" s="115">
        <f>SUMIF(T64:V68,"&gt;0")</f>
        <v>0</v>
      </c>
      <c r="V71" s="168"/>
      <c r="X71" s="115">
        <f>SUMIF(W64:Y68,"&gt;0")</f>
        <v>0</v>
      </c>
      <c r="Y71" s="168"/>
      <c r="AA71" s="115">
        <f>SUMIF(Z64:AB68,"&gt;0")</f>
        <v>0</v>
      </c>
      <c r="AB71" s="168"/>
      <c r="AD71" s="115">
        <f>SUMIF(AC64:AE68,"&gt;0")</f>
        <v>0</v>
      </c>
      <c r="AE71" s="168"/>
      <c r="AF71" s="167" t="s">
        <v>222</v>
      </c>
      <c r="AT71" s="513"/>
      <c r="AU71" s="513"/>
      <c r="AV71" s="513"/>
      <c r="AW71" s="514"/>
      <c r="AX71" s="513"/>
      <c r="AY71" s="513"/>
    </row>
    <row r="72" spans="1:54" s="115" customFormat="1" ht="12.75" hidden="1" customHeight="1">
      <c r="A72" s="115" t="s">
        <v>43</v>
      </c>
      <c r="B72" s="115">
        <f>IF(B24=1,C71,0)</f>
        <v>2</v>
      </c>
      <c r="D72" s="168">
        <f>IF(D24=1,C71,0)</f>
        <v>0</v>
      </c>
      <c r="E72" s="115">
        <f>IF(E24=1,F71,0)</f>
        <v>0</v>
      </c>
      <c r="G72" s="168">
        <f>IF(G24=1,F71,0)</f>
        <v>0</v>
      </c>
      <c r="H72" s="115">
        <f>IF(H24=1,I71,0)</f>
        <v>2</v>
      </c>
      <c r="J72" s="168">
        <f>IF(J24=1,I71,0)</f>
        <v>0</v>
      </c>
      <c r="K72" s="115">
        <f>IF(K24=1,L71,0)</f>
        <v>0</v>
      </c>
      <c r="M72" s="168">
        <f>IF(M24=1,L71,0)</f>
        <v>0</v>
      </c>
      <c r="N72" s="115">
        <f>IF(N24=1,O71,0)</f>
        <v>0</v>
      </c>
      <c r="P72" s="168">
        <f>IF(P24=1,O71,0)</f>
        <v>0</v>
      </c>
      <c r="Q72" s="115">
        <f>IF(Q24=1,R71,0)</f>
        <v>0</v>
      </c>
      <c r="S72" s="168">
        <f>IF(S24=1,R71,0)</f>
        <v>0</v>
      </c>
      <c r="T72" s="115">
        <f>IF(T24=1,U71,0)</f>
        <v>0</v>
      </c>
      <c r="V72" s="168">
        <f>IF(V24=1,U71,0)</f>
        <v>0</v>
      </c>
      <c r="W72" s="115">
        <f>IF(W24=1,X71,0)</f>
        <v>0</v>
      </c>
      <c r="Y72" s="168">
        <f>IF(Y24=1,X71,0)</f>
        <v>0</v>
      </c>
      <c r="Z72" s="115">
        <f>IF(Z24=1,AA71,0)</f>
        <v>0</v>
      </c>
      <c r="AB72" s="168">
        <f>IF(AB24=1,AA71,0)</f>
        <v>0</v>
      </c>
      <c r="AC72" s="115">
        <f>IF(AC24=1,AD71,0)</f>
        <v>0</v>
      </c>
      <c r="AE72" s="168">
        <f>IF(AE24=1,AD71,0)</f>
        <v>0</v>
      </c>
      <c r="AF72" s="115">
        <f>SUM(B72:AE72)</f>
        <v>4</v>
      </c>
      <c r="AT72" s="513"/>
      <c r="AU72" s="513"/>
      <c r="AV72" s="513"/>
      <c r="AW72" s="514"/>
      <c r="AX72" s="513"/>
      <c r="AY72" s="513"/>
    </row>
    <row r="73" spans="1:54" s="115" customFormat="1" ht="12.75" hidden="1" customHeight="1">
      <c r="A73" s="115" t="s">
        <v>44</v>
      </c>
      <c r="B73" s="115">
        <f>IF(B24=2,C71,0)</f>
        <v>0</v>
      </c>
      <c r="D73" s="168">
        <f>IF(D24=2,C71,0)</f>
        <v>2</v>
      </c>
      <c r="E73" s="115">
        <f>IF(E24=2,F71,0)</f>
        <v>2</v>
      </c>
      <c r="G73" s="168">
        <f>IF(G24=2,F71,0)</f>
        <v>0</v>
      </c>
      <c r="H73" s="115">
        <f>IF(H24=2,I71,0)</f>
        <v>0</v>
      </c>
      <c r="J73" s="168">
        <f>IF(J24=2,I71,0)</f>
        <v>0</v>
      </c>
      <c r="K73" s="115">
        <f>IF(K24=2,L71,0)</f>
        <v>0</v>
      </c>
      <c r="M73" s="168">
        <f>IF(M24=2,L71,0)</f>
        <v>0</v>
      </c>
      <c r="N73" s="115">
        <f>IF(N24=2,O71,0)</f>
        <v>0</v>
      </c>
      <c r="P73" s="168">
        <f>IF(P24=2,O71,0)</f>
        <v>0</v>
      </c>
      <c r="Q73" s="115">
        <f>IF(Q24=2,R71,0)</f>
        <v>0</v>
      </c>
      <c r="S73" s="168">
        <f>IF(S24=2,R71,0)</f>
        <v>0</v>
      </c>
      <c r="T73" s="115">
        <f>IF(T24=2,U71,0)</f>
        <v>0</v>
      </c>
      <c r="V73" s="168">
        <f>IF(V24=2,U71,0)</f>
        <v>0</v>
      </c>
      <c r="W73" s="115">
        <f>IF(W24=2,X71,0)</f>
        <v>0</v>
      </c>
      <c r="Y73" s="168">
        <f>IF(Y24=2,X71,0)</f>
        <v>0</v>
      </c>
      <c r="Z73" s="115">
        <f>IF(Z24=2,AA71,0)</f>
        <v>0</v>
      </c>
      <c r="AB73" s="168">
        <f>IF(AB24=2,AA71,0)</f>
        <v>0</v>
      </c>
      <c r="AC73" s="115">
        <f>IF(AC24=2,AD71,0)</f>
        <v>0</v>
      </c>
      <c r="AE73" s="168">
        <f>IF(AE24=2,AD71,0)</f>
        <v>0</v>
      </c>
      <c r="AF73" s="115">
        <f>SUM(B73:AE73)</f>
        <v>4</v>
      </c>
      <c r="AT73" s="513"/>
      <c r="AU73" s="513"/>
      <c r="AV73" s="513"/>
      <c r="AW73" s="514"/>
      <c r="AX73" s="513"/>
      <c r="AY73" s="513"/>
    </row>
    <row r="74" spans="1:54" s="115" customFormat="1" ht="12.75" hidden="1" customHeight="1">
      <c r="A74" s="115" t="s">
        <v>45</v>
      </c>
      <c r="B74" s="115">
        <f>IF(B24=3,C71,0)</f>
        <v>0</v>
      </c>
      <c r="D74" s="168">
        <f>IF(D24=3,C71,0)</f>
        <v>0</v>
      </c>
      <c r="E74" s="115">
        <f>IF(E24=3,F71,0)</f>
        <v>0</v>
      </c>
      <c r="G74" s="168">
        <f>IF(G24=3,F71,0)</f>
        <v>2</v>
      </c>
      <c r="H74" s="115">
        <f>IF(H24=3,I71,0)</f>
        <v>0</v>
      </c>
      <c r="J74" s="168">
        <f>IF(J24=3,I71,0)</f>
        <v>2</v>
      </c>
      <c r="K74" s="115">
        <f>IF(K24=3,L71,0)</f>
        <v>0</v>
      </c>
      <c r="M74" s="168">
        <f>IF(M24=3,L71,0)</f>
        <v>0</v>
      </c>
      <c r="N74" s="115">
        <f>IF(N24=3,O71,0)</f>
        <v>0</v>
      </c>
      <c r="P74" s="168">
        <f>IF(P24=3,O71,0)</f>
        <v>0</v>
      </c>
      <c r="Q74" s="115">
        <f>IF(Q24=3,R71,0)</f>
        <v>0</v>
      </c>
      <c r="S74" s="168">
        <f>IF(S24=3,R71,0)</f>
        <v>0</v>
      </c>
      <c r="T74" s="115">
        <f>IF(T24=3,U71,0)</f>
        <v>0</v>
      </c>
      <c r="V74" s="168">
        <f>IF(V24=3,U71,0)</f>
        <v>0</v>
      </c>
      <c r="W74" s="115">
        <f>IF(W24=3,X71,0)</f>
        <v>0</v>
      </c>
      <c r="Y74" s="168">
        <f>IF(Y24=3,X71,0)</f>
        <v>0</v>
      </c>
      <c r="Z74" s="115">
        <f>IF(Z24=3,AA71,0)</f>
        <v>0</v>
      </c>
      <c r="AB74" s="168">
        <f>IF(AB24=3,AA71,0)</f>
        <v>0</v>
      </c>
      <c r="AC74" s="115">
        <f>IF(AC24=3,AD71,0)</f>
        <v>0</v>
      </c>
      <c r="AE74" s="168">
        <f>IF(AE24=3,AD71,0)</f>
        <v>0</v>
      </c>
      <c r="AF74" s="115">
        <f>SUM(B74:AE74)</f>
        <v>4</v>
      </c>
      <c r="AT74" s="513"/>
      <c r="AU74" s="513"/>
      <c r="AV74" s="513"/>
      <c r="AW74" s="514"/>
      <c r="AX74" s="513"/>
      <c r="AY74" s="513"/>
    </row>
    <row r="75" spans="1:54" s="115" customFormat="1" ht="12.75" hidden="1" customHeight="1">
      <c r="A75" s="115" t="s">
        <v>46</v>
      </c>
      <c r="B75" s="115">
        <f>IF(B24=4,C71,0)</f>
        <v>0</v>
      </c>
      <c r="D75" s="168">
        <f>IF(D24=4,C71,0)</f>
        <v>0</v>
      </c>
      <c r="E75" s="115">
        <f>IF(E24=4,F71,0)</f>
        <v>0</v>
      </c>
      <c r="G75" s="168">
        <f>IF(G24=4,F71,0)</f>
        <v>0</v>
      </c>
      <c r="H75" s="115">
        <f>IF(H24=4,I71,0)</f>
        <v>0</v>
      </c>
      <c r="J75" s="168">
        <f>IF(J24=4,I71,0)</f>
        <v>0</v>
      </c>
      <c r="K75" s="115">
        <f>IF(K24=4,L71,0)</f>
        <v>0</v>
      </c>
      <c r="M75" s="168">
        <f>IF(M24=4,L71,0)</f>
        <v>0</v>
      </c>
      <c r="N75" s="115">
        <f>IF(N24=4,O71,0)</f>
        <v>0</v>
      </c>
      <c r="P75" s="168">
        <f>IF(P24=4,O71,0)</f>
        <v>0</v>
      </c>
      <c r="Q75" s="115">
        <f>IF(Q24=4,R71,0)</f>
        <v>0</v>
      </c>
      <c r="S75" s="168">
        <f>IF(S24=4,R71,0)</f>
        <v>0</v>
      </c>
      <c r="T75" s="115">
        <f>IF(T24=4,U71,0)</f>
        <v>0</v>
      </c>
      <c r="V75" s="168">
        <f>IF(V24=4,U71,0)</f>
        <v>0</v>
      </c>
      <c r="W75" s="115">
        <f>IF(W24=4,X71,0)</f>
        <v>0</v>
      </c>
      <c r="Y75" s="168">
        <f>IF(Y24=4,X71,0)</f>
        <v>0</v>
      </c>
      <c r="Z75" s="115">
        <f>IF(Z24=4,AA71,0)</f>
        <v>0</v>
      </c>
      <c r="AB75" s="168">
        <f>IF(AB24=4,AA71,0)</f>
        <v>0</v>
      </c>
      <c r="AC75" s="115">
        <f>IF(AC24=4,AD71,0)</f>
        <v>0</v>
      </c>
      <c r="AE75" s="168">
        <f>IF(AE24=4,AD71,0)</f>
        <v>0</v>
      </c>
      <c r="AF75" s="115">
        <f>SUM(B75:AE75)</f>
        <v>0</v>
      </c>
      <c r="AT75" s="513"/>
      <c r="AU75" s="513"/>
      <c r="AV75" s="513"/>
      <c r="AW75" s="514"/>
      <c r="AX75" s="513"/>
      <c r="AY75" s="513"/>
    </row>
    <row r="76" spans="1:54" s="115" customFormat="1" ht="12.75" hidden="1" customHeight="1">
      <c r="A76" s="115" t="s">
        <v>47</v>
      </c>
      <c r="B76" s="115">
        <f>IF(B24=5,C71,0)</f>
        <v>0</v>
      </c>
      <c r="D76" s="168">
        <f>IF(D24=5,C71,0)</f>
        <v>0</v>
      </c>
      <c r="E76" s="115">
        <f>IF(E24=5,F71,0)</f>
        <v>0</v>
      </c>
      <c r="G76" s="168">
        <f>IF(G24=5,F71,0)</f>
        <v>0</v>
      </c>
      <c r="H76" s="115">
        <f>IF(H24=5,I71,0)</f>
        <v>0</v>
      </c>
      <c r="J76" s="168">
        <f>IF(J24=5,I71,0)</f>
        <v>0</v>
      </c>
      <c r="K76" s="115">
        <f>IF(K24=5,L71,0)</f>
        <v>0</v>
      </c>
      <c r="M76" s="168">
        <f>IF(M24=5,L71,0)</f>
        <v>0</v>
      </c>
      <c r="N76" s="115">
        <f>IF(N24=5,O71,0)</f>
        <v>0</v>
      </c>
      <c r="P76" s="168">
        <f>IF(P24=5,O71,0)</f>
        <v>0</v>
      </c>
      <c r="Q76" s="115">
        <f>IF(Q24=5,R71,0)</f>
        <v>0</v>
      </c>
      <c r="S76" s="168">
        <f>IF(S24=5,R71,0)</f>
        <v>0</v>
      </c>
      <c r="T76" s="115">
        <f>IF(T24=5,U71,0)</f>
        <v>0</v>
      </c>
      <c r="V76" s="168">
        <f>IF(V24=5,U71,0)</f>
        <v>0</v>
      </c>
      <c r="W76" s="115">
        <f>IF(W24=5,X71,0)</f>
        <v>0</v>
      </c>
      <c r="Y76" s="168">
        <f>IF(Y24=5,X71,0)</f>
        <v>0</v>
      </c>
      <c r="Z76" s="115">
        <f>IF(Z24=5,AA71,0)</f>
        <v>0</v>
      </c>
      <c r="AB76" s="168">
        <f>IF(AB24=5,AA71,0)</f>
        <v>0</v>
      </c>
      <c r="AC76" s="115">
        <f>IF(AC24=5,AD71,0)</f>
        <v>0</v>
      </c>
      <c r="AE76" s="168">
        <f>IF(AE24=5,AD71,0)</f>
        <v>0</v>
      </c>
      <c r="AF76" s="115">
        <f>SUM(B76:AE76)</f>
        <v>0</v>
      </c>
      <c r="AT76" s="513"/>
      <c r="AU76" s="513"/>
      <c r="AV76" s="513"/>
      <c r="AW76" s="514"/>
      <c r="AX76" s="513"/>
      <c r="AY76" s="513"/>
    </row>
    <row r="77" spans="1:54" hidden="1">
      <c r="A77" s="118"/>
      <c r="B77" s="118"/>
      <c r="C77" s="118"/>
      <c r="D77" s="118"/>
      <c r="E77" s="118"/>
      <c r="F77" s="118"/>
      <c r="G77" s="118"/>
      <c r="H77" s="118"/>
      <c r="I77" s="118"/>
      <c r="J77" s="118"/>
      <c r="K77" s="118"/>
      <c r="L77" s="118"/>
      <c r="M77" s="118"/>
      <c r="N77" s="118"/>
      <c r="O77" s="118"/>
      <c r="P77" s="118"/>
      <c r="Q77" s="118"/>
      <c r="R77" s="118"/>
      <c r="S77" s="118"/>
      <c r="T77" s="118"/>
      <c r="U77" s="118"/>
      <c r="V77" s="118"/>
      <c r="W77" s="118"/>
      <c r="X77" s="118"/>
      <c r="Y77" s="118"/>
      <c r="Z77" s="118"/>
      <c r="AA77" s="118"/>
      <c r="AB77" s="118"/>
      <c r="AC77" s="118"/>
      <c r="AD77" s="118"/>
      <c r="AE77" s="118"/>
      <c r="AF77" s="118"/>
      <c r="AG77" s="118"/>
      <c r="AH77" s="118"/>
      <c r="AI77" s="118"/>
      <c r="AJ77" s="118"/>
      <c r="AK77" s="118"/>
      <c r="AL77" s="118"/>
      <c r="AM77" s="118"/>
      <c r="AN77" s="119"/>
      <c r="AO77" s="119"/>
      <c r="AP77" s="119"/>
      <c r="AQ77" s="119"/>
      <c r="AR77" s="117"/>
      <c r="AS77" s="117"/>
      <c r="AT77" s="513"/>
      <c r="AU77" s="513"/>
      <c r="AV77" s="513"/>
      <c r="BB77" s="39"/>
    </row>
    <row r="78" spans="1:54" s="117" customFormat="1" hidden="1">
      <c r="A78" s="34"/>
      <c r="B78" s="34"/>
      <c r="C78" s="34" t="s">
        <v>223</v>
      </c>
      <c r="D78" s="34">
        <v>1</v>
      </c>
      <c r="E78" s="34"/>
      <c r="F78" s="34"/>
      <c r="G78" s="34">
        <v>2</v>
      </c>
      <c r="H78" s="34"/>
      <c r="I78" s="34"/>
      <c r="J78" s="34">
        <v>3</v>
      </c>
      <c r="K78" s="34"/>
      <c r="L78" s="34"/>
      <c r="M78" s="34">
        <v>4</v>
      </c>
      <c r="N78" s="34"/>
      <c r="O78" s="34"/>
      <c r="P78" s="34">
        <v>5</v>
      </c>
      <c r="Q78" s="34"/>
      <c r="R78" s="34"/>
      <c r="S78" s="34">
        <v>6</v>
      </c>
      <c r="T78" s="34"/>
      <c r="U78" s="34"/>
      <c r="V78" s="34">
        <v>7</v>
      </c>
      <c r="W78" s="34"/>
      <c r="X78" s="34"/>
      <c r="Y78" s="34">
        <v>8</v>
      </c>
      <c r="Z78" s="34"/>
      <c r="AA78" s="34"/>
      <c r="AB78" s="34">
        <v>9</v>
      </c>
      <c r="AC78" s="34"/>
      <c r="AD78" s="34"/>
      <c r="AE78" s="34">
        <v>10</v>
      </c>
      <c r="AF78" s="3"/>
      <c r="AG78" s="34"/>
      <c r="AI78" s="169"/>
      <c r="AJ78" s="3"/>
      <c r="AK78" s="3"/>
      <c r="AL78" s="3"/>
      <c r="AM78" s="3"/>
      <c r="AN78" s="3"/>
      <c r="AO78" s="3"/>
      <c r="AT78" s="515" t="s">
        <v>224</v>
      </c>
      <c r="AU78" s="513"/>
      <c r="AV78" s="513"/>
      <c r="AW78" s="514"/>
      <c r="AX78" s="513"/>
      <c r="AY78" s="513"/>
      <c r="BB78" s="170"/>
    </row>
    <row r="79" spans="1:54" s="117" customFormat="1" hidden="1">
      <c r="A79" s="171">
        <v>1</v>
      </c>
      <c r="B79" s="171" t="str">
        <f>E8</f>
        <v>Columbia SC Starlings 12</v>
      </c>
      <c r="C79" s="171">
        <f>VLOOKUP(B79,AU$3:BB$33,3,FALSE)</f>
        <v>1200</v>
      </c>
      <c r="D79" s="171">
        <f>IF(B72,B87,IF(D72,D87,C79))</f>
        <v>1168</v>
      </c>
      <c r="E79" s="171"/>
      <c r="F79" s="171"/>
      <c r="G79" s="171">
        <f>IF(E72,E87,IF(G72,G87,D79))</f>
        <v>1168</v>
      </c>
      <c r="H79" s="171"/>
      <c r="I79" s="171"/>
      <c r="J79" s="171">
        <f>IF(H72,H87,IF(J72,J87,G79))</f>
        <v>1185.7779264437215</v>
      </c>
      <c r="K79" s="171"/>
      <c r="L79" s="171"/>
      <c r="M79" s="171">
        <f>IF(K72,K87,IF(M72,M87,J79))</f>
        <v>1185.7779264437215</v>
      </c>
      <c r="N79" s="171"/>
      <c r="O79" s="171"/>
      <c r="P79" s="171">
        <f>IF(N72,N87,IF(P72,P87,M79))</f>
        <v>1185.7779264437215</v>
      </c>
      <c r="Q79" s="171"/>
      <c r="R79" s="171"/>
      <c r="S79" s="171">
        <f>IF(Q72,Q87,IF(S72,S87,P79))</f>
        <v>1185.7779264437215</v>
      </c>
      <c r="T79" s="171"/>
      <c r="U79" s="171"/>
      <c r="V79" s="171">
        <f>IF(T72,T87,IF(V72,V87,S79))</f>
        <v>1185.7779264437215</v>
      </c>
      <c r="W79" s="171"/>
      <c r="X79" s="171"/>
      <c r="Y79" s="171">
        <f>IF(W72,W87,IF(Y72,Y87,V79))</f>
        <v>1185.7779264437215</v>
      </c>
      <c r="Z79" s="171"/>
      <c r="AA79" s="171"/>
      <c r="AB79" s="171">
        <f>IF(Z72,Z87,IF(AB72,AB87,Y79))</f>
        <v>1185.7779264437215</v>
      </c>
      <c r="AC79" s="171"/>
      <c r="AD79" s="171"/>
      <c r="AE79" s="171">
        <f>IF(AC72,AC87,IF(AE72,AE87,AB79))</f>
        <v>1185.7779264437215</v>
      </c>
      <c r="AF79" s="3"/>
      <c r="AG79" s="3"/>
      <c r="AJ79" s="3"/>
      <c r="AK79" s="3"/>
      <c r="AL79" s="3"/>
      <c r="AM79" s="3"/>
      <c r="AN79" s="3"/>
      <c r="AO79" s="3"/>
      <c r="AT79" s="513" t="str">
        <f>B79</f>
        <v>Columbia SC Starlings 12</v>
      </c>
      <c r="AU79" s="513">
        <f>AE79</f>
        <v>1185.7779264437215</v>
      </c>
      <c r="AV79" s="513"/>
      <c r="AW79" s="514"/>
      <c r="AX79" s="513"/>
      <c r="AY79" s="513"/>
      <c r="BB79" s="170"/>
    </row>
    <row r="80" spans="1:54" s="117" customFormat="1" hidden="1">
      <c r="A80" s="171">
        <v>2</v>
      </c>
      <c r="B80" s="171" t="str">
        <f>E10</f>
        <v>SC Midlands KP Boys</v>
      </c>
      <c r="C80" s="171">
        <f>VLOOKUP(B80,AU$3:BB$33,3,FALSE)</f>
        <v>1200</v>
      </c>
      <c r="D80" s="171">
        <f>IF(B73,B87,IF(D73,D87,C80))</f>
        <v>1232</v>
      </c>
      <c r="E80" s="171"/>
      <c r="F80" s="171"/>
      <c r="G80" s="171">
        <f>IF(E73,E87,IF(G73,G87,D80))</f>
        <v>1246.3704475419222</v>
      </c>
      <c r="H80" s="171"/>
      <c r="I80" s="171"/>
      <c r="J80" s="171">
        <f>IF(H73,H87,IF(J73,J87,G80))</f>
        <v>1246.3704475419222</v>
      </c>
      <c r="K80" s="171"/>
      <c r="L80" s="171"/>
      <c r="M80" s="171">
        <f>IF(K73,K87,IF(M73,M87,J80))</f>
        <v>1246.3704475419222</v>
      </c>
      <c r="N80" s="171"/>
      <c r="O80" s="171"/>
      <c r="P80" s="171">
        <f>IF(N73,N87,IF(P73,P87,M80))</f>
        <v>1246.3704475419222</v>
      </c>
      <c r="Q80" s="171"/>
      <c r="R80" s="171"/>
      <c r="S80" s="171">
        <f>IF(Q73,Q87,IF(S73,S87,P80))</f>
        <v>1246.3704475419222</v>
      </c>
      <c r="T80" s="171"/>
      <c r="U80" s="171"/>
      <c r="V80" s="171">
        <f>IF(T73,T87,IF(V73,V87,S80))</f>
        <v>1246.3704475419222</v>
      </c>
      <c r="W80" s="171"/>
      <c r="X80" s="171"/>
      <c r="Y80" s="171">
        <f>IF(W73,W87,IF(Y73,Y87,V80))</f>
        <v>1246.3704475419222</v>
      </c>
      <c r="Z80" s="171"/>
      <c r="AA80" s="171"/>
      <c r="AB80" s="171">
        <f>IF(Z73,Z87,IF(AB73,AB87,Y80))</f>
        <v>1246.3704475419222</v>
      </c>
      <c r="AC80" s="171"/>
      <c r="AD80" s="171"/>
      <c r="AE80" s="171">
        <f>IF(AC73,AC87,IF(AE73,AE87,AB80))</f>
        <v>1246.3704475419222</v>
      </c>
      <c r="AF80" s="3"/>
      <c r="AG80" s="3"/>
      <c r="AJ80" s="3"/>
      <c r="AL80" s="3"/>
      <c r="AM80" s="3"/>
      <c r="AN80" s="3"/>
      <c r="AO80" s="3"/>
      <c r="AT80" s="513" t="str">
        <f>B80</f>
        <v>SC Midlands KP Boys</v>
      </c>
      <c r="AU80" s="513">
        <f>AE80</f>
        <v>1246.3704475419222</v>
      </c>
      <c r="AV80" s="513"/>
      <c r="AW80" s="514"/>
      <c r="AX80" s="513"/>
      <c r="AY80" s="513"/>
      <c r="BB80" s="170"/>
    </row>
    <row r="81" spans="1:54" s="117" customFormat="1" hidden="1">
      <c r="A81" s="171">
        <v>3</v>
      </c>
      <c r="B81" s="171" t="str">
        <f>E12</f>
        <v>USA 12 Blue</v>
      </c>
      <c r="C81" s="171">
        <f>VLOOKUP(B81,AU$3:BB$33,3,FALSE)</f>
        <v>1400</v>
      </c>
      <c r="D81" s="171">
        <f>IF(B74,B87,IF(D74,D87,C81))</f>
        <v>1400</v>
      </c>
      <c r="E81" s="171"/>
      <c r="F81" s="171"/>
      <c r="G81" s="171">
        <f>IF(E74,E87,IF(G74,G87,D81))</f>
        <v>1385.6295524580778</v>
      </c>
      <c r="H81" s="171"/>
      <c r="I81" s="171"/>
      <c r="J81" s="171">
        <f>IF(H74,H87,IF(J74,J87,G81))</f>
        <v>1367.8516260143563</v>
      </c>
      <c r="K81" s="171"/>
      <c r="L81" s="171"/>
      <c r="M81" s="171">
        <f>IF(K74,K87,IF(M74,M87,J81))</f>
        <v>1367.8516260143563</v>
      </c>
      <c r="N81" s="171"/>
      <c r="O81" s="171"/>
      <c r="P81" s="171">
        <f>IF(N74,N87,IF(P74,P87,M81))</f>
        <v>1367.8516260143563</v>
      </c>
      <c r="Q81" s="171"/>
      <c r="R81" s="171"/>
      <c r="S81" s="171">
        <f>IF(Q74,Q87,IF(S74,S87,P81))</f>
        <v>1367.8516260143563</v>
      </c>
      <c r="T81" s="171"/>
      <c r="U81" s="171"/>
      <c r="V81" s="171">
        <f>IF(T74,T87,IF(V74,V87,S81))</f>
        <v>1367.8516260143563</v>
      </c>
      <c r="W81" s="171"/>
      <c r="X81" s="171"/>
      <c r="Y81" s="171">
        <f>IF(W74,W87,IF(Y74,Y87,V81))</f>
        <v>1367.8516260143563</v>
      </c>
      <c r="Z81" s="171"/>
      <c r="AA81" s="171"/>
      <c r="AB81" s="171">
        <f>IF(Z74,Z87,IF(AB74,AB87,Y81))</f>
        <v>1367.8516260143563</v>
      </c>
      <c r="AC81" s="171"/>
      <c r="AD81" s="171"/>
      <c r="AE81" s="171">
        <f>IF(AC74,AC87,IF(AE74,AE87,AB81))</f>
        <v>1367.8516260143563</v>
      </c>
      <c r="AF81" s="3"/>
      <c r="AG81" s="3"/>
      <c r="AJ81" s="3"/>
      <c r="AL81" s="3"/>
      <c r="AM81" s="3"/>
      <c r="AN81" s="3"/>
      <c r="AO81" s="3"/>
      <c r="AT81" s="513" t="str">
        <f>B81</f>
        <v>USA 12 Blue</v>
      </c>
      <c r="AU81" s="513">
        <f>AE81</f>
        <v>1367.8516260143563</v>
      </c>
      <c r="AV81" s="513"/>
      <c r="AW81" s="514"/>
      <c r="AX81" s="513"/>
      <c r="AY81" s="513"/>
      <c r="BB81" s="170"/>
    </row>
    <row r="82" spans="1:54" s="117" customFormat="1" hidden="1">
      <c r="A82" s="171">
        <v>4</v>
      </c>
      <c r="B82" s="171" t="str">
        <f>E14</f>
        <v>Team 12</v>
      </c>
      <c r="C82" s="171">
        <f>VLOOKUP(B82,AU$3:BB$33,3,FALSE)</f>
        <v>2012</v>
      </c>
      <c r="D82" s="171">
        <f>IF(B75,B87,IF(D75,D87,C82))</f>
        <v>2012</v>
      </c>
      <c r="E82" s="171"/>
      <c r="F82" s="171"/>
      <c r="G82" s="171">
        <f>IF(E75,E87,IF(G75,G87,D82))</f>
        <v>2012</v>
      </c>
      <c r="H82" s="171"/>
      <c r="I82" s="171"/>
      <c r="J82" s="171">
        <f>IF(H75,H87,IF(J75,J87,G82))</f>
        <v>2012</v>
      </c>
      <c r="K82" s="171"/>
      <c r="L82" s="171"/>
      <c r="M82" s="171">
        <f>IF(K75,K87,IF(M75,M87,J82))</f>
        <v>2012</v>
      </c>
      <c r="N82" s="171"/>
      <c r="O82" s="171"/>
      <c r="P82" s="171">
        <f>IF(N75,N87,IF(P75,P87,M82))</f>
        <v>2012</v>
      </c>
      <c r="Q82" s="171"/>
      <c r="R82" s="171"/>
      <c r="S82" s="171">
        <f>IF(Q75,Q87,IF(S75,S87,P82))</f>
        <v>2012</v>
      </c>
      <c r="T82" s="171"/>
      <c r="U82" s="171"/>
      <c r="V82" s="171">
        <f>IF(T75,T87,IF(V75,V87,S82))</f>
        <v>2012</v>
      </c>
      <c r="W82" s="171"/>
      <c r="X82" s="171"/>
      <c r="Y82" s="171">
        <f>IF(W75,W87,IF(Y75,Y87,V82))</f>
        <v>2012</v>
      </c>
      <c r="Z82" s="171"/>
      <c r="AA82" s="171"/>
      <c r="AB82" s="171">
        <f>IF(Z75,Z87,IF(AB75,AB87,Y82))</f>
        <v>2012</v>
      </c>
      <c r="AC82" s="171"/>
      <c r="AD82" s="171"/>
      <c r="AE82" s="171">
        <f>IF(AC75,AC87,IF(AE75,AE87,AB82))</f>
        <v>2012</v>
      </c>
      <c r="AF82" s="3"/>
      <c r="AG82" s="3"/>
      <c r="AJ82" s="3"/>
      <c r="AL82" s="3"/>
      <c r="AM82" s="3"/>
      <c r="AN82" s="3"/>
      <c r="AO82" s="3"/>
      <c r="AT82" s="513" t="str">
        <f>B82</f>
        <v>Team 12</v>
      </c>
      <c r="AU82" s="513">
        <f>AE82</f>
        <v>2012</v>
      </c>
      <c r="AV82" s="513"/>
      <c r="AW82" s="514"/>
      <c r="AX82" s="513"/>
      <c r="AY82" s="513"/>
      <c r="BB82" s="170"/>
    </row>
    <row r="83" spans="1:54" s="117" customFormat="1" hidden="1">
      <c r="A83" s="171">
        <v>5</v>
      </c>
      <c r="B83" s="171">
        <f>E16</f>
        <v>0</v>
      </c>
      <c r="C83" s="171" t="e">
        <f>VLOOKUP(B83,AU$3:BB$33,3,FALSE)</f>
        <v>#N/A</v>
      </c>
      <c r="D83" s="171" t="e">
        <f>IF(B76,B87,IF(D76,D87,C83))</f>
        <v>#N/A</v>
      </c>
      <c r="E83" s="171"/>
      <c r="F83" s="171"/>
      <c r="G83" s="171" t="e">
        <f>IF(E76,E87,IF(G76,G87,D83))</f>
        <v>#N/A</v>
      </c>
      <c r="H83" s="171"/>
      <c r="I83" s="171"/>
      <c r="J83" s="171" t="e">
        <f>IF(H76,H87,IF(J76,J87,G83))</f>
        <v>#N/A</v>
      </c>
      <c r="K83" s="171"/>
      <c r="L83" s="171"/>
      <c r="M83" s="171" t="e">
        <f>IF(K76,K87,IF(M76,M87,J83))</f>
        <v>#N/A</v>
      </c>
      <c r="N83" s="171"/>
      <c r="O83" s="171"/>
      <c r="P83" s="171" t="e">
        <f>IF(N76,N87,IF(P76,P87,M83))</f>
        <v>#N/A</v>
      </c>
      <c r="Q83" s="171"/>
      <c r="R83" s="171"/>
      <c r="S83" s="171" t="e">
        <f>IF(Q76,Q87,IF(S76,S87,P83))</f>
        <v>#N/A</v>
      </c>
      <c r="T83" s="171"/>
      <c r="U83" s="171"/>
      <c r="V83" s="171" t="e">
        <f>IF(T76,T87,IF(V76,V87,S83))</f>
        <v>#N/A</v>
      </c>
      <c r="W83" s="171"/>
      <c r="X83" s="171"/>
      <c r="Y83" s="171" t="e">
        <f>IF(W76,W87,IF(Y76,Y87,V83))</f>
        <v>#N/A</v>
      </c>
      <c r="Z83" s="171"/>
      <c r="AA83" s="171"/>
      <c r="AB83" s="171" t="e">
        <f>IF(Z76,Z87,IF(AB76,AB87,Y83))</f>
        <v>#N/A</v>
      </c>
      <c r="AC83" s="171"/>
      <c r="AD83" s="171"/>
      <c r="AE83" s="171" t="e">
        <f>IF(AC76,AC87,IF(AE76,AE87,AB83))</f>
        <v>#N/A</v>
      </c>
      <c r="AF83" s="3"/>
      <c r="AG83" s="3"/>
      <c r="AJ83" s="3"/>
      <c r="AL83" s="3"/>
      <c r="AM83" s="3"/>
      <c r="AN83" s="3"/>
      <c r="AO83" s="3"/>
      <c r="AT83" s="513">
        <f>B83</f>
        <v>0</v>
      </c>
      <c r="AU83" s="513" t="e">
        <f>AE83</f>
        <v>#N/A</v>
      </c>
      <c r="AV83" s="513"/>
      <c r="AW83" s="514"/>
      <c r="AX83" s="513"/>
      <c r="AY83" s="513"/>
      <c r="BB83" s="170"/>
    </row>
    <row r="84" spans="1:54" s="117" customFormat="1" hidden="1">
      <c r="A84" s="171"/>
      <c r="B84" s="171"/>
      <c r="C84" s="171"/>
      <c r="D84" s="171"/>
      <c r="E84" s="171"/>
      <c r="F84" s="171"/>
      <c r="G84" s="171"/>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3"/>
      <c r="AG84" s="3"/>
      <c r="AJ84" s="3"/>
      <c r="AL84" s="3"/>
      <c r="AM84" s="3"/>
      <c r="AN84" s="3"/>
      <c r="AO84" s="3"/>
      <c r="AT84" s="513"/>
      <c r="AU84" s="513"/>
      <c r="AV84" s="513"/>
      <c r="AW84" s="514"/>
      <c r="AX84" s="513"/>
      <c r="AY84" s="513"/>
      <c r="BB84" s="170"/>
    </row>
    <row r="85" spans="1:54" s="117" customFormat="1" hidden="1">
      <c r="A85" s="171" t="s">
        <v>225</v>
      </c>
      <c r="B85" s="171">
        <f>VLOOKUP(B24,$A79:$AE83,3,FALSE)</f>
        <v>1200</v>
      </c>
      <c r="C85" s="171">
        <v>1</v>
      </c>
      <c r="D85" s="171">
        <f>VLOOKUP(D24,$A79:$AE83,3,FALSE)</f>
        <v>1200</v>
      </c>
      <c r="E85" s="171">
        <f>VLOOKUP(E24,$A79:$AE83,4,FALSE)</f>
        <v>1232</v>
      </c>
      <c r="F85" s="171">
        <v>2</v>
      </c>
      <c r="G85" s="171">
        <f>VLOOKUP(G24,$A79:$AE83,4,FALSE)</f>
        <v>1400</v>
      </c>
      <c r="H85" s="171">
        <f>VLOOKUP(H24,$A79:$AE83,7,FALSE)</f>
        <v>1168</v>
      </c>
      <c r="I85" s="171">
        <v>3</v>
      </c>
      <c r="J85" s="171">
        <f>VLOOKUP(J24,$A79:$AE83,7,FALSE)</f>
        <v>1385.6295524580778</v>
      </c>
      <c r="K85" s="171" t="e">
        <f>VLOOKUP(K24,$A79:$AE83,10,FALSE)</f>
        <v>#N/A</v>
      </c>
      <c r="L85" s="171">
        <v>4</v>
      </c>
      <c r="M85" s="171" t="e">
        <f>VLOOKUP(M24,$A79:$AE83,10,FALSE)</f>
        <v>#N/A</v>
      </c>
      <c r="N85" s="171" t="e">
        <f>VLOOKUP(N24,$A79:$AE83,13,FALSE)</f>
        <v>#N/A</v>
      </c>
      <c r="O85" s="171">
        <v>5</v>
      </c>
      <c r="P85" s="171" t="e">
        <f>VLOOKUP(P24,$A79:$AE83,13,FALSE)</f>
        <v>#N/A</v>
      </c>
      <c r="Q85" s="171" t="e">
        <f>VLOOKUP(Q24,$A79:$AE83,16,FALSE)</f>
        <v>#N/A</v>
      </c>
      <c r="R85" s="171">
        <v>6</v>
      </c>
      <c r="S85" s="171" t="e">
        <f>VLOOKUP(S24,$A79:$AE83,16,FALSE)</f>
        <v>#N/A</v>
      </c>
      <c r="T85" s="171" t="e">
        <f>VLOOKUP(T24,$A79:$AE83,19,FALSE)</f>
        <v>#N/A</v>
      </c>
      <c r="U85" s="171">
        <v>7</v>
      </c>
      <c r="V85" s="171" t="e">
        <f>VLOOKUP(V24,$A79:$AE83,19,FALSE)</f>
        <v>#N/A</v>
      </c>
      <c r="W85" s="171" t="e">
        <f>VLOOKUP(W24,$A79:$AE83,22,FALSE)</f>
        <v>#N/A</v>
      </c>
      <c r="X85" s="171">
        <v>8</v>
      </c>
      <c r="Y85" s="171" t="e">
        <f>VLOOKUP(Y24,$A79:$AE83,22,FALSE)</f>
        <v>#N/A</v>
      </c>
      <c r="Z85" s="171" t="e">
        <f>VLOOKUP(Z24,$A79:$AE83,25,FALSE)</f>
        <v>#N/A</v>
      </c>
      <c r="AA85" s="171">
        <v>9</v>
      </c>
      <c r="AB85" s="171" t="e">
        <f>VLOOKUP(AB24,$A79:$AE83,25,FALSE)</f>
        <v>#N/A</v>
      </c>
      <c r="AC85" s="171" t="e">
        <f>VLOOKUP(AC24,$A79:$AE83,28,FALSE)</f>
        <v>#N/A</v>
      </c>
      <c r="AD85" s="171">
        <v>10</v>
      </c>
      <c r="AE85" s="171" t="e">
        <f>VLOOKUP(AE24,$A79:$AE83,28,FALSE)</f>
        <v>#N/A</v>
      </c>
      <c r="AF85" s="3"/>
      <c r="AG85" s="118"/>
      <c r="AH85" s="118"/>
      <c r="AI85" s="118"/>
      <c r="AJ85" s="118"/>
      <c r="AK85" s="118"/>
      <c r="AL85" s="118"/>
      <c r="AM85" s="118"/>
      <c r="AN85" s="119"/>
      <c r="AO85" s="119"/>
      <c r="AP85" s="119"/>
      <c r="AQ85" s="119"/>
      <c r="AT85" s="513"/>
      <c r="AU85" s="513"/>
      <c r="AV85" s="513"/>
      <c r="AW85" s="514"/>
      <c r="AX85" s="513"/>
      <c r="AY85" s="513"/>
      <c r="BB85" s="170"/>
    </row>
    <row r="86" spans="1:54" s="176" customFormat="1" hidden="1">
      <c r="A86" s="172" t="s">
        <v>226</v>
      </c>
      <c r="B86" s="172">
        <f>1/(1+(10^-((B85-D85)/400)))*(B36+D36)</f>
        <v>1</v>
      </c>
      <c r="C86" s="172"/>
      <c r="D86" s="172">
        <f>1/(1+(10^-((D85-B85)/400)))*(B36+D36)</f>
        <v>1</v>
      </c>
      <c r="E86" s="172">
        <f>1/(1+(10^-((E85-G85)/400)))*(E36+G36)</f>
        <v>0.55092351431492781</v>
      </c>
      <c r="F86" s="172"/>
      <c r="G86" s="172">
        <f>1/(1+(10^-((G85-E85)/400)))*(E36+G36)</f>
        <v>1.4490764856850722</v>
      </c>
      <c r="H86" s="172">
        <f>1/(1+(10^-((H85-J85)/400)))*(H36+J36)</f>
        <v>0.4444397986336997</v>
      </c>
      <c r="I86" s="172"/>
      <c r="J86" s="172">
        <f>1/(1+(10^-((J85-H85)/400)))*(H36+J36)</f>
        <v>1.5555602013663004</v>
      </c>
      <c r="K86" s="172" t="e">
        <f>1/(1+(10^-((K85-M85)/400)))*(K36+M36)</f>
        <v>#N/A</v>
      </c>
      <c r="L86" s="172"/>
      <c r="M86" s="172" t="e">
        <f>1/(1+(10^-((M85-K85)/400)))*(K36+M36)</f>
        <v>#N/A</v>
      </c>
      <c r="N86" s="172" t="e">
        <f>1/(1+(10^-((N85-P85)/400)))*(N36+P36)</f>
        <v>#N/A</v>
      </c>
      <c r="O86" s="172"/>
      <c r="P86" s="172" t="e">
        <f>1/(1+(10^-((P85-N85)/400)))*(N36+P36)</f>
        <v>#N/A</v>
      </c>
      <c r="Q86" s="172" t="e">
        <f>1/(1+(10^-((Q85-S85)/400)))*(Q36+S36)</f>
        <v>#N/A</v>
      </c>
      <c r="R86" s="172"/>
      <c r="S86" s="172" t="e">
        <f>1/(1+(10^-((S85-Q85)/400)))*(Q36+S36)</f>
        <v>#N/A</v>
      </c>
      <c r="T86" s="172" t="e">
        <f>1/(1+(10^-((T85-V85)/400)))*(T36+V36)</f>
        <v>#N/A</v>
      </c>
      <c r="U86" s="172"/>
      <c r="V86" s="172" t="e">
        <f>1/(1+(10^-((V85-T85)/400)))*(T36+V36)</f>
        <v>#N/A</v>
      </c>
      <c r="W86" s="172" t="e">
        <f>1/(1+(10^-((W85-Y85)/400)))*(W36+Y36)</f>
        <v>#N/A</v>
      </c>
      <c r="X86" s="172"/>
      <c r="Y86" s="172" t="e">
        <f>1/(1+(10^-((Y85-W85)/400)))*(W36+Y36)</f>
        <v>#N/A</v>
      </c>
      <c r="Z86" s="172" t="e">
        <f>1/(1+(10^-((Z85-AB85)/400)))*(Z36+AB36)</f>
        <v>#N/A</v>
      </c>
      <c r="AA86" s="172"/>
      <c r="AB86" s="172" t="e">
        <f>1/(1+(10^-((AB85-Z85)/400)))*(Z36+AB36)</f>
        <v>#N/A</v>
      </c>
      <c r="AC86" s="172" t="e">
        <f>1/(1+(10^-((AC85-AE85)/400)))*(AC36+AE36)</f>
        <v>#N/A</v>
      </c>
      <c r="AD86" s="172"/>
      <c r="AE86" s="172" t="e">
        <f>1/(1+(10^-((AE85-AC85)/400)))*(AC36+AE36)</f>
        <v>#N/A</v>
      </c>
      <c r="AF86" s="173"/>
      <c r="AG86" s="174"/>
      <c r="AH86" s="174"/>
      <c r="AI86" s="174"/>
      <c r="AJ86" s="174"/>
      <c r="AK86" s="174"/>
      <c r="AL86" s="174"/>
      <c r="AM86" s="174"/>
      <c r="AN86" s="175"/>
      <c r="AO86" s="175"/>
      <c r="AP86" s="175"/>
      <c r="AQ86" s="175"/>
      <c r="AT86" s="516"/>
      <c r="AU86" s="516"/>
      <c r="AV86" s="516"/>
      <c r="AW86" s="517"/>
      <c r="AX86" s="516"/>
      <c r="AY86" s="516"/>
      <c r="BB86" s="177"/>
    </row>
    <row r="87" spans="1:54" s="182" customFormat="1" hidden="1">
      <c r="A87" s="178" t="s">
        <v>227</v>
      </c>
      <c r="B87" s="178">
        <f>B85+(B36-B86)*$BA$1</f>
        <v>1168</v>
      </c>
      <c r="C87" s="178"/>
      <c r="D87" s="178">
        <f>D85+(D36-D86)*$BA$1</f>
        <v>1232</v>
      </c>
      <c r="E87" s="178">
        <f>E85+(E36-E86)*$BA$1</f>
        <v>1246.3704475419222</v>
      </c>
      <c r="F87" s="178"/>
      <c r="G87" s="178">
        <f>G85+(G36-G86)*$BA$1</f>
        <v>1385.6295524580778</v>
      </c>
      <c r="H87" s="178">
        <f>H85+(H36-H86)*$BA$1</f>
        <v>1185.7779264437215</v>
      </c>
      <c r="I87" s="178"/>
      <c r="J87" s="178">
        <f>J85+(J36-J86)*$BA$1</f>
        <v>1367.8516260143563</v>
      </c>
      <c r="K87" s="178" t="e">
        <f>K85+(K36-K86)*$BA$1</f>
        <v>#N/A</v>
      </c>
      <c r="L87" s="178"/>
      <c r="M87" s="178" t="e">
        <f>M85+(M36-M86)*$BA$1</f>
        <v>#N/A</v>
      </c>
      <c r="N87" s="178" t="e">
        <f>N85+(N36-N86)*$BA$1</f>
        <v>#N/A</v>
      </c>
      <c r="O87" s="178"/>
      <c r="P87" s="178" t="e">
        <f>P85+(P36-P86)*$BA$1</f>
        <v>#N/A</v>
      </c>
      <c r="Q87" s="178" t="e">
        <f>Q85+(Q36-Q86)*$BA$1</f>
        <v>#N/A</v>
      </c>
      <c r="R87" s="178"/>
      <c r="S87" s="178" t="e">
        <f>S85+(S36-S86)*$BA$1</f>
        <v>#N/A</v>
      </c>
      <c r="T87" s="178" t="e">
        <f>T85+(T36-T86)*$BA$1</f>
        <v>#N/A</v>
      </c>
      <c r="U87" s="178"/>
      <c r="V87" s="178" t="e">
        <f>V85+(V36-V86)*$BA$1</f>
        <v>#N/A</v>
      </c>
      <c r="W87" s="178" t="e">
        <f>W85+(W36-W86)*$BA$1</f>
        <v>#N/A</v>
      </c>
      <c r="X87" s="178"/>
      <c r="Y87" s="178" t="e">
        <f>Y85+(Y36-Y86)*$BA$1</f>
        <v>#N/A</v>
      </c>
      <c r="Z87" s="178" t="e">
        <f>Z85+(Z36-Z86)*$BA$1</f>
        <v>#N/A</v>
      </c>
      <c r="AA87" s="178"/>
      <c r="AB87" s="178" t="e">
        <f>AB85+(AB36-AB86)*$BA$1</f>
        <v>#N/A</v>
      </c>
      <c r="AC87" s="178" t="e">
        <f>AC85+(AC36-AC86)*$BA$1</f>
        <v>#N/A</v>
      </c>
      <c r="AD87" s="178"/>
      <c r="AE87" s="178" t="e">
        <f>AE85+(AE36-AE86)*$BA$1</f>
        <v>#N/A</v>
      </c>
      <c r="AF87" s="179"/>
      <c r="AG87" s="180"/>
      <c r="AH87" s="180"/>
      <c r="AI87" s="180"/>
      <c r="AJ87" s="180"/>
      <c r="AK87" s="180"/>
      <c r="AL87" s="180"/>
      <c r="AM87" s="180"/>
      <c r="AN87" s="181"/>
      <c r="AO87" s="181"/>
      <c r="AP87" s="181"/>
      <c r="AQ87" s="181"/>
      <c r="AT87" s="518"/>
      <c r="AU87" s="518"/>
      <c r="AV87" s="518"/>
      <c r="AW87" s="519"/>
      <c r="AX87" s="518"/>
      <c r="AY87" s="518"/>
      <c r="BB87" s="183"/>
    </row>
    <row r="88" spans="1:54" s="182" customFormat="1" hidden="1">
      <c r="A88" s="178"/>
      <c r="B88" s="178"/>
      <c r="C88" s="178"/>
      <c r="D88" s="178"/>
      <c r="E88" s="178"/>
      <c r="F88" s="178"/>
      <c r="G88" s="178"/>
      <c r="H88" s="178"/>
      <c r="I88" s="178"/>
      <c r="J88" s="178"/>
      <c r="K88" s="178"/>
      <c r="L88" s="178"/>
      <c r="M88" s="178"/>
      <c r="N88" s="178"/>
      <c r="O88" s="178"/>
      <c r="P88" s="178"/>
      <c r="Q88" s="178"/>
      <c r="R88" s="178"/>
      <c r="S88" s="178"/>
      <c r="T88" s="178"/>
      <c r="U88" s="178"/>
      <c r="V88" s="178"/>
      <c r="W88" s="178"/>
      <c r="X88" s="178"/>
      <c r="Y88" s="178"/>
      <c r="Z88" s="178"/>
      <c r="AA88" s="178"/>
      <c r="AB88" s="178"/>
      <c r="AC88" s="178"/>
      <c r="AD88" s="178"/>
      <c r="AE88" s="178"/>
      <c r="AF88" s="179"/>
      <c r="AG88" s="180"/>
      <c r="AH88" s="180"/>
      <c r="AI88" s="180"/>
      <c r="AJ88" s="180"/>
      <c r="AK88" s="180"/>
      <c r="AL88" s="180"/>
      <c r="AM88" s="180"/>
      <c r="AN88" s="181"/>
      <c r="AO88" s="181"/>
      <c r="AP88" s="181"/>
      <c r="AQ88" s="181"/>
      <c r="AT88" s="518"/>
      <c r="AU88" s="518"/>
      <c r="AV88" s="518"/>
      <c r="AW88" s="519"/>
      <c r="AX88" s="518"/>
      <c r="AY88" s="518"/>
      <c r="BB88" s="183"/>
    </row>
    <row r="89" spans="1:54" s="117" customFormat="1">
      <c r="A89" s="393" t="str">
        <f>IF($AK10=1,"Pool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Tiebreaker : 1) Games Won vs Lost (if 3 way tie then #5)  2) Head to Head  3) Head to Head Net Points  4) Game Win %  5) Total Pool Net Points  6) Flip a Coin</v>
      </c>
      <c r="B89" s="393"/>
      <c r="C89" s="393"/>
      <c r="D89" s="393"/>
      <c r="E89" s="393"/>
      <c r="F89" s="393"/>
      <c r="G89" s="393"/>
      <c r="H89" s="393"/>
      <c r="I89" s="393"/>
      <c r="J89" s="393"/>
      <c r="K89" s="393"/>
      <c r="L89" s="393"/>
      <c r="M89" s="393"/>
      <c r="N89" s="393"/>
      <c r="O89" s="393"/>
      <c r="P89" s="393"/>
      <c r="Q89" s="393"/>
      <c r="R89" s="393"/>
      <c r="S89" s="393"/>
      <c r="T89" s="393"/>
      <c r="U89" s="393"/>
      <c r="V89" s="393"/>
      <c r="W89" s="393"/>
      <c r="X89" s="393"/>
      <c r="Y89" s="393"/>
      <c r="Z89" s="393"/>
      <c r="AA89" s="393"/>
      <c r="AB89" s="393"/>
      <c r="AC89" s="393"/>
      <c r="AD89" s="393"/>
      <c r="AE89" s="393"/>
      <c r="AF89" s="393"/>
      <c r="AG89" s="393"/>
      <c r="AH89" s="393"/>
      <c r="AI89" s="393"/>
      <c r="AJ89" s="393"/>
      <c r="AK89" s="393"/>
      <c r="AL89" s="393"/>
      <c r="AM89" s="394"/>
      <c r="AN89" s="394"/>
      <c r="AO89" s="394"/>
      <c r="AP89" s="394"/>
      <c r="AT89" s="513"/>
      <c r="AU89" s="513"/>
      <c r="AV89" s="513"/>
      <c r="AW89" s="514"/>
      <c r="AX89" s="513"/>
      <c r="AY89" s="513"/>
    </row>
    <row r="90" spans="1:54" s="117" customFormat="1" ht="13.5" thickBot="1">
      <c r="A90" s="395"/>
      <c r="B90" s="395"/>
      <c r="C90" s="395"/>
      <c r="D90" s="395"/>
      <c r="E90" s="395"/>
      <c r="F90" s="395"/>
      <c r="G90" s="395"/>
      <c r="H90" s="395"/>
      <c r="I90" s="395"/>
      <c r="J90" s="395"/>
      <c r="K90" s="395"/>
      <c r="L90" s="395"/>
      <c r="M90" s="395"/>
      <c r="N90" s="395"/>
      <c r="O90" s="395"/>
      <c r="P90" s="395"/>
      <c r="Q90" s="395"/>
      <c r="R90" s="395"/>
      <c r="S90" s="395"/>
      <c r="T90" s="395"/>
      <c r="U90" s="395"/>
      <c r="V90" s="395"/>
      <c r="W90" s="395"/>
      <c r="X90" s="395"/>
      <c r="Y90" s="395"/>
      <c r="Z90" s="395"/>
      <c r="AA90" s="395"/>
      <c r="AB90" s="395"/>
      <c r="AC90" s="395"/>
      <c r="AD90" s="395"/>
      <c r="AE90" s="395"/>
      <c r="AF90" s="395"/>
      <c r="AG90" s="395"/>
      <c r="AH90" s="395"/>
      <c r="AI90" s="395"/>
      <c r="AJ90" s="395"/>
      <c r="AK90" s="395"/>
      <c r="AL90" s="395"/>
      <c r="AM90" s="395"/>
      <c r="AN90" s="395"/>
      <c r="AO90" s="395"/>
      <c r="AP90" s="395"/>
      <c r="AQ90" s="395"/>
      <c r="AT90" s="513"/>
      <c r="AU90" s="513"/>
      <c r="AV90" s="513"/>
      <c r="AW90" s="514"/>
      <c r="AX90" s="513"/>
      <c r="AY90" s="513"/>
    </row>
    <row r="91" spans="1:54" ht="24" customHeight="1" thickBot="1">
      <c r="A91" s="96" t="s">
        <v>16</v>
      </c>
      <c r="B91" s="150" t="s">
        <v>228</v>
      </c>
      <c r="C91" s="274" t="s">
        <v>188</v>
      </c>
      <c r="D91" s="275"/>
      <c r="E91" s="275"/>
      <c r="F91" s="275"/>
      <c r="G91" s="275"/>
      <c r="H91" s="276"/>
      <c r="I91" s="277">
        <v>2</v>
      </c>
      <c r="J91" s="278"/>
      <c r="K91" s="279" t="str">
        <f>"Pool "&amp;B91&amp;" - Round 1 - Court "&amp;I91</f>
        <v>Pool B1 - Round 1 - Court 2</v>
      </c>
      <c r="L91" s="280"/>
      <c r="M91" s="280"/>
      <c r="N91" s="280"/>
      <c r="O91" s="280"/>
      <c r="P91" s="280"/>
      <c r="Q91" s="280"/>
      <c r="R91" s="280"/>
      <c r="S91" s="280"/>
      <c r="T91" s="280"/>
      <c r="U91" s="280"/>
      <c r="V91" s="280"/>
      <c r="W91" s="280"/>
      <c r="X91" s="280"/>
      <c r="Y91" s="280"/>
      <c r="Z91" s="280"/>
      <c r="AA91" s="280"/>
      <c r="AB91" s="280"/>
      <c r="AC91" s="280"/>
      <c r="AD91" s="280"/>
      <c r="AE91" s="280"/>
      <c r="AF91" s="280"/>
      <c r="AG91" s="280"/>
      <c r="AH91" s="280"/>
      <c r="AI91" s="281"/>
      <c r="AJ91" s="1"/>
      <c r="AK91" s="1"/>
      <c r="AL91" s="1"/>
      <c r="AM91" s="1"/>
      <c r="AN91" s="1"/>
      <c r="AO91" s="1"/>
      <c r="AP91" s="1"/>
      <c r="AQ91" s="1"/>
    </row>
    <row r="92" spans="1:54" ht="27" customHeight="1" thickBot="1">
      <c r="A92" s="97" t="s">
        <v>17</v>
      </c>
      <c r="B92" s="282" t="s">
        <v>5</v>
      </c>
      <c r="C92" s="295"/>
      <c r="D92" s="295"/>
      <c r="E92" s="295"/>
      <c r="F92" s="295"/>
      <c r="G92" s="295"/>
      <c r="H92" s="295"/>
      <c r="I92" s="295"/>
      <c r="J92" s="295"/>
      <c r="K92" s="295"/>
      <c r="L92" s="282" t="str">
        <f>IF($AK95=0,"Games Won","Matches Won")</f>
        <v>Games Won</v>
      </c>
      <c r="M92" s="295"/>
      <c r="N92" s="295"/>
      <c r="O92" s="295"/>
      <c r="P92" s="295"/>
      <c r="Q92" s="296"/>
      <c r="R92" s="282" t="str">
        <f>IF($AK95=0,"Games Lost","Matches Lost")</f>
        <v>Games Lost</v>
      </c>
      <c r="S92" s="299"/>
      <c r="T92" s="299"/>
      <c r="U92" s="299"/>
      <c r="V92" s="300"/>
      <c r="W92" s="301" t="s">
        <v>18</v>
      </c>
      <c r="X92" s="302"/>
      <c r="Y92" s="303"/>
      <c r="Z92" s="301" t="s">
        <v>189</v>
      </c>
      <c r="AA92" s="302"/>
      <c r="AB92" s="303"/>
      <c r="AC92" s="312" t="s">
        <v>19</v>
      </c>
      <c r="AD92" s="313"/>
      <c r="AE92" s="314"/>
      <c r="AF92" s="98" t="s">
        <v>20</v>
      </c>
      <c r="AG92" s="151" t="s">
        <v>4</v>
      </c>
      <c r="AH92" s="315" t="s">
        <v>21</v>
      </c>
      <c r="AI92" s="316"/>
      <c r="AJ92" s="99"/>
      <c r="AK92" s="100">
        <v>2</v>
      </c>
      <c r="AL92" s="101" t="s">
        <v>22</v>
      </c>
      <c r="AM92" s="101"/>
      <c r="AN92" s="101"/>
      <c r="AO92" s="101"/>
      <c r="AP92" s="101"/>
      <c r="AQ92" s="101"/>
      <c r="AR92" s="102"/>
    </row>
    <row r="93" spans="1:54" ht="18.75" customHeight="1">
      <c r="A93" s="317" t="str">
        <f>IF($AK94&gt;0,"1","")</f>
        <v>1</v>
      </c>
      <c r="B93" s="319" t="s">
        <v>5</v>
      </c>
      <c r="C93" s="320"/>
      <c r="D93" s="321"/>
      <c r="E93" s="322" t="str">
        <f>AU4</f>
        <v>Magnum 12 Black</v>
      </c>
      <c r="F93" s="323"/>
      <c r="G93" s="323"/>
      <c r="H93" s="323"/>
      <c r="I93" s="323"/>
      <c r="J93" s="323"/>
      <c r="K93" s="324"/>
      <c r="L93" s="304">
        <f>IF($AK95=0,AF149,AF131)</f>
        <v>4</v>
      </c>
      <c r="M93" s="305"/>
      <c r="N93" s="305"/>
      <c r="O93" s="305"/>
      <c r="P93" s="305"/>
      <c r="Q93" s="297"/>
      <c r="R93" s="304">
        <f>IF($AK95=0,AG149,AG131)</f>
        <v>0</v>
      </c>
      <c r="S93" s="305"/>
      <c r="T93" s="305"/>
      <c r="U93" s="305"/>
      <c r="V93" s="305"/>
      <c r="W93" s="304">
        <f>AQ109</f>
        <v>65</v>
      </c>
      <c r="X93" s="305"/>
      <c r="Y93" s="305"/>
      <c r="Z93" s="308">
        <f>IF(AF143&gt;0,(AQ109/AF143),0)</f>
        <v>0.69148936170212771</v>
      </c>
      <c r="AA93" s="309"/>
      <c r="AB93" s="309"/>
      <c r="AC93" s="325">
        <f>IF(AF157=0,0,(AF149/AF157))</f>
        <v>1</v>
      </c>
      <c r="AD93" s="326"/>
      <c r="AE93" s="327"/>
      <c r="AF93" s="331">
        <v>1</v>
      </c>
      <c r="AG93" s="331">
        <v>1</v>
      </c>
      <c r="AH93" s="333"/>
      <c r="AI93" s="334"/>
      <c r="AJ93" s="99"/>
      <c r="AK93" s="100">
        <v>3</v>
      </c>
      <c r="AL93" s="101" t="s">
        <v>23</v>
      </c>
      <c r="AM93" s="101"/>
      <c r="AN93" s="101"/>
      <c r="AO93" s="101"/>
      <c r="AP93" s="101"/>
      <c r="AQ93" s="101"/>
      <c r="AR93" s="102"/>
    </row>
    <row r="94" spans="1:54" ht="18.75" customHeight="1" thickBot="1">
      <c r="A94" s="318"/>
      <c r="B94" s="337" t="s">
        <v>6</v>
      </c>
      <c r="C94" s="338"/>
      <c r="D94" s="339"/>
      <c r="E94" s="340" t="str">
        <f>AV4</f>
        <v>fj2magnm1pm</v>
      </c>
      <c r="F94" s="341"/>
      <c r="G94" s="341"/>
      <c r="H94" s="341"/>
      <c r="I94" s="341"/>
      <c r="J94" s="341"/>
      <c r="K94" s="341"/>
      <c r="L94" s="306"/>
      <c r="M94" s="307"/>
      <c r="N94" s="307"/>
      <c r="O94" s="307"/>
      <c r="P94" s="307"/>
      <c r="Q94" s="297"/>
      <c r="R94" s="306"/>
      <c r="S94" s="307"/>
      <c r="T94" s="307"/>
      <c r="U94" s="307"/>
      <c r="V94" s="307"/>
      <c r="W94" s="306"/>
      <c r="X94" s="307"/>
      <c r="Y94" s="307"/>
      <c r="Z94" s="310"/>
      <c r="AA94" s="311"/>
      <c r="AB94" s="311"/>
      <c r="AC94" s="328"/>
      <c r="AD94" s="329"/>
      <c r="AE94" s="330"/>
      <c r="AF94" s="332"/>
      <c r="AG94" s="332"/>
      <c r="AH94" s="335"/>
      <c r="AI94" s="336"/>
      <c r="AJ94" s="99"/>
      <c r="AK94" s="100">
        <v>3</v>
      </c>
      <c r="AL94" s="101" t="s">
        <v>190</v>
      </c>
      <c r="AM94" s="99"/>
      <c r="AN94" s="99"/>
      <c r="AO94" s="99"/>
      <c r="AP94" s="99"/>
      <c r="AQ94" s="99"/>
      <c r="AR94" s="46"/>
    </row>
    <row r="95" spans="1:54" ht="18.75" customHeight="1">
      <c r="A95" s="317" t="str">
        <f>IF($AK94&gt;1,"2","")</f>
        <v>2</v>
      </c>
      <c r="B95" s="319" t="s">
        <v>5</v>
      </c>
      <c r="C95" s="320"/>
      <c r="D95" s="321"/>
      <c r="E95" s="322" t="str">
        <f>AU7</f>
        <v>SC Midlands KP White</v>
      </c>
      <c r="F95" s="323"/>
      <c r="G95" s="323"/>
      <c r="H95" s="323"/>
      <c r="I95" s="323"/>
      <c r="J95" s="323"/>
      <c r="K95" s="324"/>
      <c r="L95" s="304">
        <f>IF($AK95=0,AF150,AF132)</f>
        <v>1</v>
      </c>
      <c r="M95" s="305"/>
      <c r="N95" s="305"/>
      <c r="O95" s="305"/>
      <c r="P95" s="305"/>
      <c r="Q95" s="297"/>
      <c r="R95" s="304">
        <f>IF($AK95=0,AG150,AG132)</f>
        <v>3</v>
      </c>
      <c r="S95" s="305"/>
      <c r="T95" s="305"/>
      <c r="U95" s="305"/>
      <c r="V95" s="305"/>
      <c r="W95" s="304">
        <f>AQ110</f>
        <v>-32</v>
      </c>
      <c r="X95" s="305"/>
      <c r="Y95" s="305"/>
      <c r="Z95" s="308">
        <f>IF(AF144&gt;0,(AQ110/AF144),0)</f>
        <v>-0.38554216867469882</v>
      </c>
      <c r="AA95" s="309"/>
      <c r="AB95" s="309"/>
      <c r="AC95" s="325">
        <f>IF(AF158=0,0,(AF150/AF158))</f>
        <v>0.25</v>
      </c>
      <c r="AD95" s="326"/>
      <c r="AE95" s="327"/>
      <c r="AF95" s="331">
        <v>2</v>
      </c>
      <c r="AG95" s="331">
        <v>3</v>
      </c>
      <c r="AH95" s="333"/>
      <c r="AI95" s="334"/>
      <c r="AJ95" s="99"/>
      <c r="AK95" s="100">
        <v>0</v>
      </c>
      <c r="AL95" s="101" t="s">
        <v>24</v>
      </c>
      <c r="AM95" s="101"/>
      <c r="AN95" s="101"/>
      <c r="AO95" s="101"/>
      <c r="AP95" s="101"/>
      <c r="AQ95" s="101"/>
      <c r="AR95" s="102"/>
    </row>
    <row r="96" spans="1:54" ht="18.75" customHeight="1" thickBot="1">
      <c r="A96" s="318"/>
      <c r="B96" s="342" t="s">
        <v>6</v>
      </c>
      <c r="C96" s="343"/>
      <c r="D96" s="343"/>
      <c r="E96" s="340" t="str">
        <f>AV7</f>
        <v>fj2scmid2pm</v>
      </c>
      <c r="F96" s="341"/>
      <c r="G96" s="341"/>
      <c r="H96" s="341"/>
      <c r="I96" s="341"/>
      <c r="J96" s="341"/>
      <c r="K96" s="341"/>
      <c r="L96" s="306"/>
      <c r="M96" s="307"/>
      <c r="N96" s="307"/>
      <c r="O96" s="307"/>
      <c r="P96" s="307"/>
      <c r="Q96" s="297"/>
      <c r="R96" s="306"/>
      <c r="S96" s="307"/>
      <c r="T96" s="307"/>
      <c r="U96" s="307"/>
      <c r="V96" s="307"/>
      <c r="W96" s="306"/>
      <c r="X96" s="307"/>
      <c r="Y96" s="307"/>
      <c r="Z96" s="310"/>
      <c r="AA96" s="311"/>
      <c r="AB96" s="311"/>
      <c r="AC96" s="328"/>
      <c r="AD96" s="329"/>
      <c r="AE96" s="330"/>
      <c r="AF96" s="332"/>
      <c r="AG96" s="332"/>
      <c r="AH96" s="335"/>
      <c r="AI96" s="336"/>
      <c r="AJ96" s="99"/>
      <c r="AK96" s="100">
        <v>1</v>
      </c>
      <c r="AL96" s="101" t="s">
        <v>25</v>
      </c>
      <c r="AM96" s="99"/>
      <c r="AN96" s="99"/>
      <c r="AO96" s="99"/>
      <c r="AP96" s="99"/>
      <c r="AQ96" s="99"/>
      <c r="AR96" s="46"/>
    </row>
    <row r="97" spans="1:44" ht="18.75" customHeight="1">
      <c r="A97" s="317" t="str">
        <f>IF($AK94&gt;2,"3","")</f>
        <v>3</v>
      </c>
      <c r="B97" s="344" t="s">
        <v>5</v>
      </c>
      <c r="C97" s="345"/>
      <c r="D97" s="345"/>
      <c r="E97" s="322" t="str">
        <f>AU10</f>
        <v>Magnum 12 Red</v>
      </c>
      <c r="F97" s="323"/>
      <c r="G97" s="323"/>
      <c r="H97" s="323"/>
      <c r="I97" s="323"/>
      <c r="J97" s="323"/>
      <c r="K97" s="324"/>
      <c r="L97" s="304">
        <f>IF($AK95=0,AF151,AF133)</f>
        <v>1</v>
      </c>
      <c r="M97" s="305"/>
      <c r="N97" s="305"/>
      <c r="O97" s="305"/>
      <c r="P97" s="305"/>
      <c r="Q97" s="297"/>
      <c r="R97" s="304">
        <f>IF($AK95=0,AG151,AG133)</f>
        <v>3</v>
      </c>
      <c r="S97" s="305"/>
      <c r="T97" s="305"/>
      <c r="U97" s="305"/>
      <c r="V97" s="305"/>
      <c r="W97" s="304">
        <f>AQ111</f>
        <v>-33</v>
      </c>
      <c r="X97" s="305"/>
      <c r="Y97" s="305"/>
      <c r="Z97" s="308">
        <f>IF(AF145&gt;0,(AQ111/AF145),0)</f>
        <v>-0.39759036144578314</v>
      </c>
      <c r="AA97" s="309"/>
      <c r="AB97" s="309"/>
      <c r="AC97" s="325">
        <f>IF(AF159=0,0,(AF151/AF159))</f>
        <v>0.25</v>
      </c>
      <c r="AD97" s="326"/>
      <c r="AE97" s="327"/>
      <c r="AF97" s="331">
        <v>3</v>
      </c>
      <c r="AG97" s="331">
        <v>3</v>
      </c>
      <c r="AH97" s="333"/>
      <c r="AI97" s="334"/>
      <c r="AJ97" s="103"/>
      <c r="AK97" s="100">
        <v>4</v>
      </c>
      <c r="AL97" s="152" t="s">
        <v>191</v>
      </c>
      <c r="AM97" s="101"/>
      <c r="AN97" s="101"/>
      <c r="AO97" s="101"/>
      <c r="AP97" s="101"/>
      <c r="AQ97" s="101"/>
      <c r="AR97" s="102"/>
    </row>
    <row r="98" spans="1:44" ht="18.75" customHeight="1" thickBot="1">
      <c r="A98" s="318"/>
      <c r="B98" s="342" t="s">
        <v>6</v>
      </c>
      <c r="C98" s="343"/>
      <c r="D98" s="343"/>
      <c r="E98" s="340" t="str">
        <f>AV10</f>
        <v>fj2magnm3pm</v>
      </c>
      <c r="F98" s="341"/>
      <c r="G98" s="341"/>
      <c r="H98" s="341"/>
      <c r="I98" s="341"/>
      <c r="J98" s="341"/>
      <c r="K98" s="341"/>
      <c r="L98" s="306"/>
      <c r="M98" s="307"/>
      <c r="N98" s="307"/>
      <c r="O98" s="307"/>
      <c r="P98" s="307"/>
      <c r="Q98" s="297"/>
      <c r="R98" s="306"/>
      <c r="S98" s="307"/>
      <c r="T98" s="307"/>
      <c r="U98" s="307"/>
      <c r="V98" s="307"/>
      <c r="W98" s="306"/>
      <c r="X98" s="307"/>
      <c r="Y98" s="307"/>
      <c r="Z98" s="310"/>
      <c r="AA98" s="311"/>
      <c r="AB98" s="311"/>
      <c r="AC98" s="328"/>
      <c r="AD98" s="329"/>
      <c r="AE98" s="330"/>
      <c r="AF98" s="332"/>
      <c r="AG98" s="332"/>
      <c r="AH98" s="335"/>
      <c r="AI98" s="336"/>
      <c r="AJ98" s="103"/>
      <c r="AK98" s="153"/>
      <c r="AL98" s="154"/>
      <c r="AM98" s="154"/>
      <c r="AN98" s="154"/>
      <c r="AO98" s="154"/>
      <c r="AP98" s="154"/>
      <c r="AQ98" s="99"/>
      <c r="AR98" s="46"/>
    </row>
    <row r="99" spans="1:44" ht="18.75" hidden="1" customHeight="1">
      <c r="A99" s="317" t="str">
        <f>IF($AK94&gt;3,"4","")</f>
        <v/>
      </c>
      <c r="B99" s="344" t="s">
        <v>5</v>
      </c>
      <c r="C99" s="345"/>
      <c r="D99" s="345"/>
      <c r="E99" s="322" t="str">
        <f>AU13</f>
        <v>Team 11</v>
      </c>
      <c r="F99" s="323"/>
      <c r="G99" s="323"/>
      <c r="H99" s="323"/>
      <c r="I99" s="323"/>
      <c r="J99" s="323"/>
      <c r="K99" s="324"/>
      <c r="L99" s="304">
        <f>IF($AK95=0,AF152,AF134)</f>
        <v>0</v>
      </c>
      <c r="M99" s="305"/>
      <c r="N99" s="305"/>
      <c r="O99" s="305"/>
      <c r="P99" s="305"/>
      <c r="Q99" s="297"/>
      <c r="R99" s="304">
        <f>IF($AK95=0,AG152,AG134)</f>
        <v>0</v>
      </c>
      <c r="S99" s="305"/>
      <c r="T99" s="305"/>
      <c r="U99" s="305"/>
      <c r="V99" s="305"/>
      <c r="W99" s="304">
        <f>AQ112</f>
        <v>0</v>
      </c>
      <c r="X99" s="305"/>
      <c r="Y99" s="305"/>
      <c r="Z99" s="308">
        <f>IF(AF146&gt;0,(AQ112/AF146),0)</f>
        <v>0</v>
      </c>
      <c r="AA99" s="309"/>
      <c r="AB99" s="309"/>
      <c r="AC99" s="325">
        <f>IF(AF160=0,0,(AF152/AF160))</f>
        <v>0</v>
      </c>
      <c r="AD99" s="326"/>
      <c r="AE99" s="327"/>
      <c r="AF99" s="331"/>
      <c r="AG99" s="331"/>
      <c r="AH99" s="333"/>
      <c r="AI99" s="334"/>
      <c r="AJ99" s="1"/>
      <c r="AK99" s="154"/>
      <c r="AL99" s="154"/>
      <c r="AM99" s="154"/>
      <c r="AN99" s="154"/>
      <c r="AO99" s="154"/>
      <c r="AP99" s="154"/>
      <c r="AQ99" s="101"/>
      <c r="AR99" s="102"/>
    </row>
    <row r="100" spans="1:44" ht="18.75" hidden="1" customHeight="1" thickBot="1">
      <c r="A100" s="318"/>
      <c r="B100" s="342" t="s">
        <v>6</v>
      </c>
      <c r="C100" s="343"/>
      <c r="D100" s="343"/>
      <c r="E100" s="340" t="str">
        <f>AV13</f>
        <v>Code 11</v>
      </c>
      <c r="F100" s="341"/>
      <c r="G100" s="341"/>
      <c r="H100" s="341"/>
      <c r="I100" s="341"/>
      <c r="J100" s="341"/>
      <c r="K100" s="341"/>
      <c r="L100" s="306"/>
      <c r="M100" s="307"/>
      <c r="N100" s="307"/>
      <c r="O100" s="307"/>
      <c r="P100" s="307"/>
      <c r="Q100" s="297"/>
      <c r="R100" s="306"/>
      <c r="S100" s="307"/>
      <c r="T100" s="307"/>
      <c r="U100" s="307"/>
      <c r="V100" s="307"/>
      <c r="W100" s="306"/>
      <c r="X100" s="307"/>
      <c r="Y100" s="307"/>
      <c r="Z100" s="310"/>
      <c r="AA100" s="311"/>
      <c r="AB100" s="311"/>
      <c r="AC100" s="328"/>
      <c r="AD100" s="329"/>
      <c r="AE100" s="330"/>
      <c r="AF100" s="332"/>
      <c r="AG100" s="332"/>
      <c r="AH100" s="335"/>
      <c r="AI100" s="336"/>
      <c r="AJ100" s="1"/>
      <c r="AK100" s="154"/>
      <c r="AL100" s="154"/>
      <c r="AM100" s="154"/>
      <c r="AN100" s="154"/>
      <c r="AO100" s="154"/>
      <c r="AP100" s="154"/>
      <c r="AQ100" s="1"/>
      <c r="AR100" s="46"/>
    </row>
    <row r="101" spans="1:44" ht="18.75" hidden="1" customHeight="1">
      <c r="A101" s="317" t="str">
        <f>IF($AK94&gt;4,"5","")</f>
        <v/>
      </c>
      <c r="B101" s="344" t="s">
        <v>5</v>
      </c>
      <c r="C101" s="345"/>
      <c r="D101" s="345"/>
      <c r="E101" s="346">
        <f>AU16</f>
        <v>0</v>
      </c>
      <c r="F101" s="347"/>
      <c r="G101" s="347"/>
      <c r="H101" s="347"/>
      <c r="I101" s="347"/>
      <c r="J101" s="347"/>
      <c r="K101" s="348"/>
      <c r="L101" s="304">
        <f>IF($AK95=0,AF153,AF135)</f>
        <v>0</v>
      </c>
      <c r="M101" s="305"/>
      <c r="N101" s="305"/>
      <c r="O101" s="305"/>
      <c r="P101" s="305"/>
      <c r="Q101" s="297"/>
      <c r="R101" s="304">
        <f>IF($AK95=0,AG153,AG135)</f>
        <v>0</v>
      </c>
      <c r="S101" s="305"/>
      <c r="T101" s="305"/>
      <c r="U101" s="305"/>
      <c r="V101" s="305"/>
      <c r="W101" s="304">
        <f>AQ113</f>
        <v>0</v>
      </c>
      <c r="X101" s="305"/>
      <c r="Y101" s="305"/>
      <c r="Z101" s="308">
        <f>IF(AF147&gt;0,(AQ113/AF147),0)</f>
        <v>0</v>
      </c>
      <c r="AA101" s="309"/>
      <c r="AB101" s="309"/>
      <c r="AC101" s="325">
        <f>IF(AF161=0,0,(AF153/AF161))</f>
        <v>0</v>
      </c>
      <c r="AD101" s="326"/>
      <c r="AE101" s="327"/>
      <c r="AF101" s="331"/>
      <c r="AG101" s="331"/>
      <c r="AH101" s="333"/>
      <c r="AI101" s="334"/>
      <c r="AJ101" s="1"/>
      <c r="AK101" s="154"/>
      <c r="AL101" s="154"/>
      <c r="AM101" s="154"/>
      <c r="AN101" s="154"/>
      <c r="AO101" s="154"/>
      <c r="AP101" s="154"/>
      <c r="AQ101" s="1"/>
      <c r="AR101" s="46"/>
    </row>
    <row r="102" spans="1:44" ht="18.75" hidden="1" customHeight="1" thickBot="1">
      <c r="A102" s="318"/>
      <c r="B102" s="359" t="s">
        <v>6</v>
      </c>
      <c r="C102" s="360"/>
      <c r="D102" s="360"/>
      <c r="E102" s="361">
        <f>AV16</f>
        <v>0</v>
      </c>
      <c r="F102" s="362"/>
      <c r="G102" s="362"/>
      <c r="H102" s="362"/>
      <c r="I102" s="362"/>
      <c r="J102" s="362"/>
      <c r="K102" s="362"/>
      <c r="L102" s="349"/>
      <c r="M102" s="350"/>
      <c r="N102" s="350"/>
      <c r="O102" s="350"/>
      <c r="P102" s="350"/>
      <c r="Q102" s="298"/>
      <c r="R102" s="349"/>
      <c r="S102" s="350"/>
      <c r="T102" s="350"/>
      <c r="U102" s="350"/>
      <c r="V102" s="350"/>
      <c r="W102" s="349"/>
      <c r="X102" s="350"/>
      <c r="Y102" s="350"/>
      <c r="Z102" s="351"/>
      <c r="AA102" s="352"/>
      <c r="AB102" s="352"/>
      <c r="AC102" s="353"/>
      <c r="AD102" s="354"/>
      <c r="AE102" s="355"/>
      <c r="AF102" s="356"/>
      <c r="AG102" s="356"/>
      <c r="AH102" s="357"/>
      <c r="AI102" s="358"/>
      <c r="AJ102" s="1"/>
      <c r="AK102" s="154"/>
      <c r="AL102" s="154"/>
      <c r="AM102" s="154"/>
      <c r="AN102" s="154"/>
      <c r="AO102" s="154"/>
      <c r="AP102" s="154"/>
      <c r="AQ102" s="1"/>
      <c r="AR102" s="46"/>
    </row>
    <row r="103" spans="1:44" ht="21" customHeight="1" thickTop="1" thickBot="1">
      <c r="A103" s="106"/>
      <c r="B103" s="363" t="s">
        <v>198</v>
      </c>
      <c r="C103" s="364"/>
      <c r="D103" s="364"/>
      <c r="E103" s="364"/>
      <c r="F103" s="364"/>
      <c r="G103" s="364"/>
      <c r="H103" s="364"/>
      <c r="I103" s="364"/>
      <c r="J103" s="364"/>
      <c r="K103" s="364"/>
      <c r="L103" s="364"/>
      <c r="M103" s="364"/>
      <c r="N103" s="364"/>
      <c r="O103" s="364"/>
      <c r="P103" s="364"/>
      <c r="Q103" s="364"/>
      <c r="R103" s="364"/>
      <c r="S103" s="364"/>
      <c r="T103" s="364"/>
      <c r="U103" s="364"/>
      <c r="V103" s="364"/>
      <c r="W103" s="364"/>
      <c r="X103" s="364"/>
      <c r="Y103" s="364"/>
      <c r="Z103" s="364"/>
      <c r="AA103" s="364"/>
      <c r="AB103" s="364"/>
      <c r="AC103" s="364"/>
      <c r="AD103" s="364"/>
      <c r="AE103" s="364"/>
      <c r="AF103" s="364"/>
      <c r="AG103" s="364"/>
      <c r="AH103" s="364"/>
      <c r="AI103" s="365"/>
      <c r="AJ103" s="1"/>
      <c r="AK103" s="154"/>
      <c r="AL103" s="154"/>
      <c r="AM103" s="154"/>
      <c r="AN103" s="154"/>
      <c r="AO103" s="154"/>
      <c r="AP103" s="154"/>
      <c r="AQ103" s="1"/>
      <c r="AR103" s="46"/>
    </row>
    <row r="104" spans="1:44" ht="13.5" thickTop="1">
      <c r="A104" s="3" t="s">
        <v>27</v>
      </c>
      <c r="B104" s="372">
        <v>0.35416666666666669</v>
      </c>
      <c r="C104" s="373"/>
      <c r="D104" s="374"/>
      <c r="E104" s="372">
        <v>0.375</v>
      </c>
      <c r="F104" s="373"/>
      <c r="G104" s="374"/>
      <c r="H104" s="372">
        <v>0.39583333333333331</v>
      </c>
      <c r="I104" s="373"/>
      <c r="J104" s="374"/>
      <c r="K104" s="372">
        <v>0.47916666666666669</v>
      </c>
      <c r="L104" s="373"/>
      <c r="M104" s="374"/>
      <c r="N104" s="372">
        <v>0.52083333333333337</v>
      </c>
      <c r="O104" s="373"/>
      <c r="P104" s="374"/>
      <c r="Q104" s="372">
        <v>6.25E-2</v>
      </c>
      <c r="R104" s="373"/>
      <c r="S104" s="374"/>
      <c r="T104" s="372"/>
      <c r="U104" s="373"/>
      <c r="V104" s="374"/>
      <c r="W104" s="372"/>
      <c r="X104" s="373"/>
      <c r="Y104" s="374"/>
      <c r="Z104" s="372"/>
      <c r="AA104" s="373"/>
      <c r="AB104" s="374"/>
      <c r="AC104" s="372"/>
      <c r="AD104" s="373"/>
      <c r="AE104" s="374"/>
      <c r="AF104" s="375" t="s">
        <v>199</v>
      </c>
      <c r="AG104" s="376"/>
      <c r="AH104" s="376"/>
      <c r="AI104" s="376"/>
      <c r="AJ104" s="377"/>
      <c r="AK104" s="377"/>
      <c r="AL104" s="377"/>
      <c r="AM104" s="377"/>
      <c r="AN104" s="377"/>
      <c r="AO104" s="377"/>
      <c r="AP104" s="377"/>
      <c r="AQ104" s="378"/>
    </row>
    <row r="105" spans="1:44">
      <c r="A105" s="107" t="s">
        <v>28</v>
      </c>
      <c r="B105" s="383"/>
      <c r="C105" s="384"/>
      <c r="D105" s="385"/>
      <c r="E105" s="383"/>
      <c r="F105" s="384"/>
      <c r="G105" s="385"/>
      <c r="H105" s="383"/>
      <c r="I105" s="384"/>
      <c r="J105" s="385"/>
      <c r="K105" s="383"/>
      <c r="L105" s="384"/>
      <c r="M105" s="385"/>
      <c r="N105" s="383"/>
      <c r="O105" s="384"/>
      <c r="P105" s="385"/>
      <c r="Q105" s="383"/>
      <c r="R105" s="384"/>
      <c r="S105" s="385"/>
      <c r="T105" s="383"/>
      <c r="U105" s="384"/>
      <c r="V105" s="385"/>
      <c r="W105" s="383"/>
      <c r="X105" s="384"/>
      <c r="Y105" s="385"/>
      <c r="Z105" s="383"/>
      <c r="AA105" s="384"/>
      <c r="AB105" s="385"/>
      <c r="AC105" s="383"/>
      <c r="AD105" s="384"/>
      <c r="AE105" s="385"/>
      <c r="AF105" s="375"/>
      <c r="AG105" s="376"/>
      <c r="AH105" s="376"/>
      <c r="AI105" s="376"/>
      <c r="AJ105" s="376"/>
      <c r="AK105" s="376"/>
      <c r="AL105" s="376"/>
      <c r="AM105" s="376"/>
      <c r="AN105" s="376"/>
      <c r="AO105" s="376"/>
      <c r="AP105" s="376"/>
      <c r="AQ105" s="379"/>
    </row>
    <row r="106" spans="1:44">
      <c r="A106" s="107" t="s">
        <v>29</v>
      </c>
      <c r="B106" s="383"/>
      <c r="C106" s="384"/>
      <c r="D106" s="385"/>
      <c r="E106" s="383"/>
      <c r="F106" s="384"/>
      <c r="G106" s="385"/>
      <c r="H106" s="383"/>
      <c r="I106" s="384"/>
      <c r="J106" s="385"/>
      <c r="K106" s="383"/>
      <c r="L106" s="384"/>
      <c r="M106" s="385"/>
      <c r="N106" s="383"/>
      <c r="O106" s="384"/>
      <c r="P106" s="385"/>
      <c r="Q106" s="383"/>
      <c r="R106" s="384"/>
      <c r="S106" s="385"/>
      <c r="T106" s="383"/>
      <c r="U106" s="384"/>
      <c r="V106" s="385"/>
      <c r="W106" s="383"/>
      <c r="X106" s="384"/>
      <c r="Y106" s="385"/>
      <c r="Z106" s="383"/>
      <c r="AA106" s="384"/>
      <c r="AB106" s="385"/>
      <c r="AC106" s="383"/>
      <c r="AD106" s="384"/>
      <c r="AE106" s="385"/>
      <c r="AF106" s="375"/>
      <c r="AG106" s="376"/>
      <c r="AH106" s="376"/>
      <c r="AI106" s="376"/>
      <c r="AJ106" s="376"/>
      <c r="AK106" s="376"/>
      <c r="AL106" s="376"/>
      <c r="AM106" s="376"/>
      <c r="AN106" s="376"/>
      <c r="AO106" s="376"/>
      <c r="AP106" s="376"/>
      <c r="AQ106" s="379"/>
    </row>
    <row r="107" spans="1:44" ht="13.5" thickBot="1">
      <c r="A107" s="1"/>
      <c r="B107" s="386" t="s">
        <v>30</v>
      </c>
      <c r="C107" s="387"/>
      <c r="D107" s="388"/>
      <c r="E107" s="386" t="str">
        <f>IF(AK93&gt;1,"Match 2","")</f>
        <v>Match 2</v>
      </c>
      <c r="F107" s="387"/>
      <c r="G107" s="388"/>
      <c r="H107" s="386" t="str">
        <f>IF(AK93&gt;2,"Match 3","")</f>
        <v>Match 3</v>
      </c>
      <c r="I107" s="387"/>
      <c r="J107" s="388"/>
      <c r="K107" s="386" t="str">
        <f>IF(AK93&gt;3,"Match 4","")</f>
        <v/>
      </c>
      <c r="L107" s="387"/>
      <c r="M107" s="388"/>
      <c r="N107" s="386" t="str">
        <f>IF(AK93&gt;4,"Match 5","")</f>
        <v/>
      </c>
      <c r="O107" s="387"/>
      <c r="P107" s="388"/>
      <c r="Q107" s="386" t="str">
        <f>IF(AK93&gt;5,"Match 6","")</f>
        <v/>
      </c>
      <c r="R107" s="387"/>
      <c r="S107" s="388"/>
      <c r="T107" s="386" t="str">
        <f>IF(AK93&gt;6,"Match 7","")</f>
        <v/>
      </c>
      <c r="U107" s="387"/>
      <c r="V107" s="388"/>
      <c r="W107" s="386" t="str">
        <f>IF(AK93&gt;7,"Match 8","")</f>
        <v/>
      </c>
      <c r="X107" s="387"/>
      <c r="Y107" s="388"/>
      <c r="Z107" s="386" t="str">
        <f>IF(AK93&gt;8,"Match 9","")</f>
        <v/>
      </c>
      <c r="AA107" s="387"/>
      <c r="AB107" s="388"/>
      <c r="AC107" s="386" t="str">
        <f>IF(AK93&gt;9,"Match 10","")</f>
        <v/>
      </c>
      <c r="AD107" s="387"/>
      <c r="AE107" s="388"/>
      <c r="AF107" s="380"/>
      <c r="AG107" s="381"/>
      <c r="AH107" s="381"/>
      <c r="AI107" s="381"/>
      <c r="AJ107" s="381"/>
      <c r="AK107" s="381"/>
      <c r="AL107" s="381"/>
      <c r="AM107" s="381"/>
      <c r="AN107" s="381"/>
      <c r="AO107" s="381"/>
      <c r="AP107" s="381"/>
      <c r="AQ107" s="382"/>
    </row>
    <row r="108" spans="1:44" ht="15.75">
      <c r="A108" s="1"/>
      <c r="B108" s="389" t="s">
        <v>33</v>
      </c>
      <c r="C108" s="390"/>
      <c r="D108" s="391"/>
      <c r="E108" s="389" t="s">
        <v>31</v>
      </c>
      <c r="F108" s="390"/>
      <c r="G108" s="391"/>
      <c r="H108" s="389" t="s">
        <v>32</v>
      </c>
      <c r="I108" s="390"/>
      <c r="J108" s="391"/>
      <c r="K108" s="389"/>
      <c r="L108" s="390"/>
      <c r="M108" s="391"/>
      <c r="N108" s="389"/>
      <c r="O108" s="390"/>
      <c r="P108" s="391"/>
      <c r="Q108" s="389"/>
      <c r="R108" s="390"/>
      <c r="S108" s="391"/>
      <c r="T108" s="389"/>
      <c r="U108" s="390"/>
      <c r="V108" s="391"/>
      <c r="W108" s="389"/>
      <c r="X108" s="390"/>
      <c r="Y108" s="391"/>
      <c r="Z108" s="389"/>
      <c r="AA108" s="390"/>
      <c r="AB108" s="391"/>
      <c r="AC108" s="389"/>
      <c r="AD108" s="390"/>
      <c r="AE108" s="391"/>
      <c r="AF108" s="160" t="s">
        <v>34</v>
      </c>
      <c r="AG108" s="108">
        <v>1</v>
      </c>
      <c r="AH108" s="108">
        <v>2</v>
      </c>
      <c r="AI108" s="108">
        <v>3</v>
      </c>
      <c r="AJ108" s="108">
        <v>4</v>
      </c>
      <c r="AK108" s="108">
        <v>5</v>
      </c>
      <c r="AL108" s="108">
        <v>6</v>
      </c>
      <c r="AM108" s="108">
        <v>7</v>
      </c>
      <c r="AN108" s="108">
        <v>8</v>
      </c>
      <c r="AO108" s="108">
        <v>9</v>
      </c>
      <c r="AP108" s="108">
        <v>10</v>
      </c>
      <c r="AQ108" s="161" t="s">
        <v>200</v>
      </c>
    </row>
    <row r="109" spans="1:44" ht="15.75">
      <c r="A109" s="1"/>
      <c r="B109" s="109">
        <v>1</v>
      </c>
      <c r="C109" s="110" t="s">
        <v>35</v>
      </c>
      <c r="D109" s="111">
        <v>2</v>
      </c>
      <c r="E109" s="109">
        <v>2</v>
      </c>
      <c r="F109" s="110" t="str">
        <f>IF(AK93&gt;1,"v","")</f>
        <v>v</v>
      </c>
      <c r="G109" s="111">
        <v>3</v>
      </c>
      <c r="H109" s="109">
        <v>1</v>
      </c>
      <c r="I109" s="110" t="str">
        <f>IF(AK93&gt;2,"v","")</f>
        <v>v</v>
      </c>
      <c r="J109" s="111">
        <v>3</v>
      </c>
      <c r="K109" s="109"/>
      <c r="L109" s="110" t="str">
        <f>IF(AK93&gt;3,"v","")</f>
        <v/>
      </c>
      <c r="M109" s="111"/>
      <c r="N109" s="109"/>
      <c r="O109" s="110" t="str">
        <f>IF(AK93&gt;4,"v","")</f>
        <v/>
      </c>
      <c r="P109" s="111"/>
      <c r="Q109" s="109"/>
      <c r="R109" s="110" t="str">
        <f>IF(AK93&gt;5,"v","")</f>
        <v/>
      </c>
      <c r="S109" s="111"/>
      <c r="T109" s="109"/>
      <c r="U109" s="110" t="str">
        <f>IF(AK93&gt;6,"v","")</f>
        <v/>
      </c>
      <c r="V109" s="111"/>
      <c r="W109" s="109"/>
      <c r="X109" s="110" t="str">
        <f>IF(AK93&gt;7,"v","")</f>
        <v/>
      </c>
      <c r="Y109" s="111"/>
      <c r="Z109" s="109"/>
      <c r="AA109" s="110" t="str">
        <f>IF(AK93&gt;8,"v","")</f>
        <v/>
      </c>
      <c r="AB109" s="111"/>
      <c r="AC109" s="109"/>
      <c r="AD109" s="110" t="str">
        <f>IF(AK93&gt;9,"v","")</f>
        <v/>
      </c>
      <c r="AE109" s="111"/>
      <c r="AF109" s="160" t="str">
        <f>IF(AK94&gt;0,"Team 1","")</f>
        <v>Team 1</v>
      </c>
      <c r="AG109" s="162">
        <f>IF(AK94&lt;1,"",IF(AK93&lt;1,"",IF(B109=1,B115-D115,IF(D109=1,D115-B115,""))))</f>
        <v>39</v>
      </c>
      <c r="AH109" s="162" t="str">
        <f>IF(AK94&lt;1,"",IF(AK93&lt;2,"",IF(E109=1,E115-G115,IF(G109=1,G115-E115,""))))</f>
        <v/>
      </c>
      <c r="AI109" s="162">
        <f>IF(AK94&lt;1,"",IF(AK93&lt;3,"",IF(H109=1,H115-J115,IF(J109=1,J115-H115,""))))</f>
        <v>26</v>
      </c>
      <c r="AJ109" s="162" t="str">
        <f>IF(AK94&lt;1,"",IF(AK93&lt;4,"",IF(K109=1,K115-M115,IF(M109=1,M115-K115,""))))</f>
        <v/>
      </c>
      <c r="AK109" s="162" t="str">
        <f>IF(AK94&lt;1,"",IF(AK93&lt;5,"",IF(N109=1,N115-P115,IF(P109=1,P115-N115,""))))</f>
        <v/>
      </c>
      <c r="AL109" s="162" t="str">
        <f>IF(AK94&lt;1,"",IF(AK93&lt;6,"",IF(Q109=1,Q115-S115,IF(S109=1,S115-Q115,""))))</f>
        <v/>
      </c>
      <c r="AM109" s="162" t="str">
        <f>IF(AK94&lt;1,"",IF(AK93&lt;7,"",IF(T109=1,T115-V115,IF(V109=1,V115-T115,""))))</f>
        <v/>
      </c>
      <c r="AN109" s="162" t="str">
        <f>IF(AK94&lt;1,"",IF(AK93&lt;8,"",IF(W109=1,W115-Y115,IF(Y109=1,Y115-W115,""))))</f>
        <v/>
      </c>
      <c r="AO109" s="162" t="str">
        <f>IF(AK94&lt;1,"",IF(AK93&lt;9,"",IF(Z109=1,Z115-AB115,IF(AB109=1,AB115-Z115,""))))</f>
        <v/>
      </c>
      <c r="AP109" s="162" t="str">
        <f>IF(AK94&lt;1,"",IF(AK93&lt;10,"",IF(AC109=1,AC115-AE115,IF(AE109=1,AE115-AC115,""))))</f>
        <v/>
      </c>
      <c r="AQ109" s="161">
        <f>SUM(AG109:AP109)</f>
        <v>65</v>
      </c>
    </row>
    <row r="110" spans="1:44" ht="15">
      <c r="A110" s="3" t="s">
        <v>36</v>
      </c>
      <c r="B110" s="112">
        <v>17</v>
      </c>
      <c r="C110" s="113" t="s">
        <v>37</v>
      </c>
      <c r="D110" s="114">
        <v>6</v>
      </c>
      <c r="E110" s="112">
        <v>15</v>
      </c>
      <c r="F110" s="113" t="str">
        <f>IF(AK93&gt;1,"/","")</f>
        <v>/</v>
      </c>
      <c r="G110" s="114">
        <v>16</v>
      </c>
      <c r="H110" s="112">
        <v>20</v>
      </c>
      <c r="I110" s="113" t="str">
        <f>IF(AK93&gt;2,"/","")</f>
        <v>/</v>
      </c>
      <c r="J110" s="114">
        <v>11</v>
      </c>
      <c r="K110" s="112"/>
      <c r="L110" s="113" t="str">
        <f>IF(AK93&gt;3,"/","")</f>
        <v/>
      </c>
      <c r="M110" s="114"/>
      <c r="N110" s="112"/>
      <c r="O110" s="113" t="str">
        <f>IF(AK93&gt;4,"/","")</f>
        <v/>
      </c>
      <c r="P110" s="114"/>
      <c r="Q110" s="112"/>
      <c r="R110" s="113" t="str">
        <f>IF(AK93&gt;5,"/","")</f>
        <v/>
      </c>
      <c r="S110" s="114"/>
      <c r="T110" s="112"/>
      <c r="U110" s="113" t="str">
        <f>IF(AK93&gt;6,"/","")</f>
        <v/>
      </c>
      <c r="V110" s="114"/>
      <c r="W110" s="112"/>
      <c r="X110" s="113" t="str">
        <f>IF(AK93&gt;7,"/","")</f>
        <v/>
      </c>
      <c r="Y110" s="114"/>
      <c r="Z110" s="112"/>
      <c r="AA110" s="113" t="str">
        <f>IF(AK93&gt;8,"/","")</f>
        <v/>
      </c>
      <c r="AB110" s="114"/>
      <c r="AC110" s="112"/>
      <c r="AD110" s="113" t="str">
        <f>IF(AK93&gt;9,"/","")</f>
        <v/>
      </c>
      <c r="AE110" s="114"/>
      <c r="AF110" s="160" t="str">
        <f>IF(AK94&gt;1,"Team 2","")</f>
        <v>Team 2</v>
      </c>
      <c r="AG110" s="162">
        <f>IF(AK94&lt;2,"",IF(AK93&lt;1,"",IF(B109=2,B115-D115,IF(D109=2,D115-B115,""))))</f>
        <v>-39</v>
      </c>
      <c r="AH110" s="162">
        <f>IF(AK94&lt;2,"",IF(AK93&lt;2,"",IF(E109=2,E115-G115,IF(G109=2,G115-E115,""))))</f>
        <v>7</v>
      </c>
      <c r="AI110" s="162" t="str">
        <f>IF(AK94&lt;2,"",IF(AK93&lt;3,"",IF(H109=2,H115-J115,IF(J109=2,J115-H115,""))))</f>
        <v/>
      </c>
      <c r="AJ110" s="162" t="str">
        <f>IF(AK94&lt;2,"",IF(AK93&lt;4,"",IF(K109=2,K115-M115,IF(M109=2,M115-K115,""))))</f>
        <v/>
      </c>
      <c r="AK110" s="162" t="str">
        <f>IF(AK94&lt;2,"",IF(AK93&lt;5,"",IF(N109=2,N115-P115,IF(P109=2,P115-N115,""))))</f>
        <v/>
      </c>
      <c r="AL110" s="162" t="str">
        <f>IF(AK94&lt;2,"",IF(AK93&lt;6,"",IF(Q109=2,Q115-S115,IF(S109=2,S115-Q115,""))))</f>
        <v/>
      </c>
      <c r="AM110" s="162" t="str">
        <f>IF(AK94&lt;2,"",IF(AK93&lt;7,"",IF(T109=2,T115-V115,IF(V109=2,V115-T115,""))))</f>
        <v/>
      </c>
      <c r="AN110" s="162" t="str">
        <f>IF(AK94&lt;2,"",IF(AK93&lt;8,"",IF(W109=2,W115-Y115,IF(Y109=2,Y115-W115,""))))</f>
        <v/>
      </c>
      <c r="AO110" s="162" t="str">
        <f>IF(AK94&lt;2,"",IF(AK93&lt;9,"",IF(Z109=2,Z115-AB115,IF(AB109=2,AB115-Z115,""))))</f>
        <v/>
      </c>
      <c r="AP110" s="162" t="str">
        <f>IF(AK94&lt;2,"",IF(AK93&lt;10,"",IF(AC109=2,AC115-AE115,IF(AE109=2,AE115-AC115,""))))</f>
        <v/>
      </c>
      <c r="AQ110" s="161">
        <f>SUM(AG110:AP110)</f>
        <v>-32</v>
      </c>
    </row>
    <row r="111" spans="1:44" ht="15">
      <c r="A111" s="46" t="str">
        <f>IF(AK92&gt;1,"Game 2","")</f>
        <v>Game 2</v>
      </c>
      <c r="B111" s="112">
        <v>30</v>
      </c>
      <c r="C111" s="113" t="s">
        <v>37</v>
      </c>
      <c r="D111" s="114">
        <v>2</v>
      </c>
      <c r="E111" s="112">
        <v>20</v>
      </c>
      <c r="F111" s="113" t="str">
        <f>IF(AK93&gt;1,IF(AK92&gt;1,"/",""),"")</f>
        <v>/</v>
      </c>
      <c r="G111" s="114">
        <v>12</v>
      </c>
      <c r="H111" s="112">
        <v>27</v>
      </c>
      <c r="I111" s="113" t="str">
        <f>IF(AK93&gt;2,IF(AK92&gt;1,"/",""),"")</f>
        <v>/</v>
      </c>
      <c r="J111" s="114">
        <v>10</v>
      </c>
      <c r="K111" s="112"/>
      <c r="L111" s="113" t="str">
        <f>IF(AK93&gt;3,IF(AK92&gt;1,"/",""),"")</f>
        <v/>
      </c>
      <c r="M111" s="114"/>
      <c r="N111" s="112"/>
      <c r="O111" s="113" t="str">
        <f>IF(AK93&gt;4,IF(AK92&gt;1,"/",""),"")</f>
        <v/>
      </c>
      <c r="P111" s="114"/>
      <c r="Q111" s="112"/>
      <c r="R111" s="113" t="str">
        <f>IF(AK93&gt;5,IF(AK92&gt;1,"/",""),"")</f>
        <v/>
      </c>
      <c r="S111" s="114"/>
      <c r="T111" s="112"/>
      <c r="U111" s="113" t="str">
        <f>IF(AK93&gt;6,IF(AK92&gt;1,"/",""),"")</f>
        <v/>
      </c>
      <c r="V111" s="114"/>
      <c r="W111" s="112"/>
      <c r="X111" s="113" t="str">
        <f>IF(AK93&gt;7,IF(AK92&gt;1,"/",""),"")</f>
        <v/>
      </c>
      <c r="Y111" s="114"/>
      <c r="Z111" s="112"/>
      <c r="AA111" s="113" t="str">
        <f>IF(AK93&gt;8,IF(AK92&gt;1,"/",""),"")</f>
        <v/>
      </c>
      <c r="AB111" s="114"/>
      <c r="AC111" s="112"/>
      <c r="AD111" s="113" t="str">
        <f>IF(AK93&gt;9,IF(AK92&gt;1,"/",""),"")</f>
        <v/>
      </c>
      <c r="AE111" s="114"/>
      <c r="AF111" s="160" t="str">
        <f>IF(AK94&gt;2,"Team 3","")</f>
        <v>Team 3</v>
      </c>
      <c r="AG111" s="162" t="str">
        <f>IF(AK94&lt;3,"",IF(AK93&lt;1,"",IF(B109=3,B115-D115,IF(D109=3,D115-B115,""))))</f>
        <v/>
      </c>
      <c r="AH111" s="162">
        <f>IF(AK94&lt;3,"",IF(AK93&lt;2,"",IF(E109=3,E115-G115,IF(G109=3,G115-E115,""))))</f>
        <v>-7</v>
      </c>
      <c r="AI111" s="162">
        <f>IF(AK94&lt;3,"",IF(AK93&lt;3,"",IF(H109=3,H115-J115,IF(J109=3,J115-H115,""))))</f>
        <v>-26</v>
      </c>
      <c r="AJ111" s="162" t="str">
        <f>IF(AK94&lt;3,"",IF(AK93&lt;4,"",IF(K109=3,K115-M115,IF(M109=3,M115-K115,""))))</f>
        <v/>
      </c>
      <c r="AK111" s="162" t="str">
        <f>IF(AK94&lt;3,"",IF(AK93&lt;5,"",IF(N109=3,N115-P115,IF(P109=3,P115-N115,""))))</f>
        <v/>
      </c>
      <c r="AL111" s="162" t="str">
        <f>IF(AK94&lt;3,"",IF(AK93&lt;6,"",IF(Q109=3,Q115-S115,IF(S109=3,S115-Q115,""))))</f>
        <v/>
      </c>
      <c r="AM111" s="162" t="str">
        <f>IF(AK94&lt;3,"",IF(AK93&lt;7,"",IF(T109=3,T115-V115,IF(V109=3,V115-T115,""))))</f>
        <v/>
      </c>
      <c r="AN111" s="162" t="str">
        <f>IF(AK94&lt;3,"",IF(AK93&lt;8,"",IF(W109=3,W115-Y115,IF(Y109=3,Y115-W115,""))))</f>
        <v/>
      </c>
      <c r="AO111" s="162" t="str">
        <f>IF(AK94&lt;3,"",IF(AK93&lt;9,"",IF(Z109=3,Z115-AB115,IF(AB109=3,AB115-Z115,""))))</f>
        <v/>
      </c>
      <c r="AP111" s="162" t="str">
        <f>IF(AK94&lt;3,"",IF(AK93&lt;9,"",IF(AC109=3,AC115-AE115,IF(AE109=3,AE115-AC115,""))))</f>
        <v/>
      </c>
      <c r="AQ111" s="161">
        <f>SUM(AG111:AP111)</f>
        <v>-33</v>
      </c>
    </row>
    <row r="112" spans="1:44" ht="15" hidden="1">
      <c r="A112" s="46" t="str">
        <f>IF(AK92&gt;2,"Game 3","")</f>
        <v/>
      </c>
      <c r="B112" s="112"/>
      <c r="C112" s="113" t="s">
        <v>37</v>
      </c>
      <c r="D112" s="114"/>
      <c r="E112" s="112"/>
      <c r="F112" s="113" t="str">
        <f>IF(AK93&gt;1,IF(AK92&gt;2,"/",""),"")</f>
        <v/>
      </c>
      <c r="G112" s="114"/>
      <c r="H112" s="112"/>
      <c r="I112" s="113" t="str">
        <f>IF(AK93&gt;2,IF(AK92&gt;2,"/",""),"")</f>
        <v/>
      </c>
      <c r="J112" s="114"/>
      <c r="K112" s="112"/>
      <c r="L112" s="113" t="str">
        <f>IF(AK93&gt;3,IF(AK92&gt;2,"/",""),"")</f>
        <v/>
      </c>
      <c r="M112" s="114"/>
      <c r="N112" s="112"/>
      <c r="O112" s="113" t="str">
        <f>IF(AK93&gt;4,IF(AK92&gt;2,"/",""),"")</f>
        <v/>
      </c>
      <c r="P112" s="114"/>
      <c r="Q112" s="112"/>
      <c r="R112" s="113" t="str">
        <f>IF(AK93&gt;5,IF(AK92&gt;2,"/",""),"")</f>
        <v/>
      </c>
      <c r="S112" s="114"/>
      <c r="T112" s="112"/>
      <c r="U112" s="113" t="str">
        <f>IF(AK93&gt;6,IF(AK92&gt;2,"/",""),"")</f>
        <v/>
      </c>
      <c r="V112" s="114"/>
      <c r="W112" s="112"/>
      <c r="X112" s="113" t="str">
        <f>IF(AK93&gt;7,IF(AK92&gt;2,"/",""),"")</f>
        <v/>
      </c>
      <c r="Y112" s="114"/>
      <c r="Z112" s="112"/>
      <c r="AA112" s="113" t="str">
        <f>IF(AK93&gt;8,IF(AK92&gt;2,"/",""),"")</f>
        <v/>
      </c>
      <c r="AB112" s="114"/>
      <c r="AC112" s="112"/>
      <c r="AD112" s="113" t="str">
        <f>IF(AK93&gt;9,IF(AK92&gt;2,"/",""),"")</f>
        <v/>
      </c>
      <c r="AE112" s="114"/>
      <c r="AF112" s="160" t="str">
        <f>IF(AK94&gt;3,"Team 4","")</f>
        <v/>
      </c>
      <c r="AG112" s="162" t="str">
        <f>IF(AK94&lt;4,"",IF(AK93&lt;1,"",IF(B109=4,B115-D115,IF(D109=4,D115-B115,""))))</f>
        <v/>
      </c>
      <c r="AH112" s="162" t="str">
        <f>IF(AK94&lt;4,"",IF(AK93&lt;2,"",IF(E109=4,E115-G115,IF(G109=4,G115-E115,""))))</f>
        <v/>
      </c>
      <c r="AI112" s="162" t="str">
        <f>IF(AK94&lt;4,"",IF(AK93&lt;3,"",IF(H109=4,H115-J115,IF(J109=4,J115-H115,""))))</f>
        <v/>
      </c>
      <c r="AJ112" s="162" t="str">
        <f>IF(AK94&lt;4,"",IF(AK93&lt;4,"",IF(K109=4,K115-M115,IF(M109=4,M115-K115,""))))</f>
        <v/>
      </c>
      <c r="AK112" s="162" t="str">
        <f>IF(AK94&lt;4,"",IF(AK93&lt;5,"",IF(N109=4,N115-P115,IF(P109=4,P115-N115,""))))</f>
        <v/>
      </c>
      <c r="AL112" s="162" t="str">
        <f>IF(AK94&lt;4,"",IF(AK93&lt;6,"",IF(Q109=4,Q115-S115,IF(S109=4,S115-Q115,""))))</f>
        <v/>
      </c>
      <c r="AM112" s="162" t="str">
        <f>IF(AK94&lt;4,"",IF(AK93&lt;7,"",IF(T109=4,T115-V115,IF(V109=4,V115-T115,""))))</f>
        <v/>
      </c>
      <c r="AN112" s="162" t="str">
        <f>IF(AK94&lt;4,"",IF(AK93&lt;8,"",IF(W109=4,W115-Y115,IF(Y109=4,Y115-W115,""))))</f>
        <v/>
      </c>
      <c r="AO112" s="162" t="str">
        <f>IF(AK94&lt;4,"",IF(AK93&lt;9,"",IF(Z109=4,Z115-AB115,IF(AB109=4,AB115-Z115,""))))</f>
        <v/>
      </c>
      <c r="AP112" s="162" t="str">
        <f>IF(AK94&lt;4,"",IF(AK93&lt;10,"",IF(AC109=4,AC115-AE115,IF(AE109=4,AE115-AC115,""))))</f>
        <v/>
      </c>
      <c r="AQ112" s="161">
        <f>SUM(AG112:AP112)</f>
        <v>0</v>
      </c>
    </row>
    <row r="113" spans="1:51" ht="15" hidden="1">
      <c r="A113" s="46" t="str">
        <f>IF(AK92&gt;3,"Game 4","")</f>
        <v/>
      </c>
      <c r="B113" s="112"/>
      <c r="C113" s="113" t="s">
        <v>37</v>
      </c>
      <c r="D113" s="114"/>
      <c r="E113" s="112"/>
      <c r="F113" s="113" t="str">
        <f>IF(AK93&gt;1,IF(AK92&gt;3,"/",""),"")</f>
        <v/>
      </c>
      <c r="G113" s="114"/>
      <c r="H113" s="112"/>
      <c r="I113" s="113" t="str">
        <f>IF(AK93&gt;2,IF(AK92&gt;3,"/",""),"")</f>
        <v/>
      </c>
      <c r="J113" s="114"/>
      <c r="K113" s="112"/>
      <c r="L113" s="113" t="str">
        <f>IF(AK93&gt;3,IF(AK92&gt;3,"/",""),"")</f>
        <v/>
      </c>
      <c r="M113" s="114"/>
      <c r="N113" s="112"/>
      <c r="O113" s="113" t="str">
        <f>IF(AK93&gt;4,IF(AK92&gt;3,"/",""),"")</f>
        <v/>
      </c>
      <c r="P113" s="114"/>
      <c r="Q113" s="112"/>
      <c r="R113" s="113" t="str">
        <f>IF(AK93&gt;5,IF(AK92&gt;3,"/",""),"")</f>
        <v/>
      </c>
      <c r="S113" s="114"/>
      <c r="T113" s="112"/>
      <c r="U113" s="113" t="str">
        <f>IF(AK93&gt;6,IF(AK92&gt;3,"/",""),"")</f>
        <v/>
      </c>
      <c r="V113" s="114"/>
      <c r="W113" s="112"/>
      <c r="X113" s="113" t="str">
        <f>IF(AK93&gt;7,IF(AK92&gt;3,"/",""),"")</f>
        <v/>
      </c>
      <c r="Y113" s="114"/>
      <c r="Z113" s="112"/>
      <c r="AA113" s="113" t="str">
        <f>IF(AK93&gt;8,IF(AK92&gt;3,"/",""),"")</f>
        <v/>
      </c>
      <c r="AB113" s="114"/>
      <c r="AC113" s="112"/>
      <c r="AD113" s="113" t="str">
        <f>IF(AK93&gt;9,IF(AK92&gt;3,"/",""),"")</f>
        <v/>
      </c>
      <c r="AE113" s="114"/>
      <c r="AF113" s="160" t="str">
        <f>IF(AK94&gt;4,"Team 5","")</f>
        <v/>
      </c>
      <c r="AG113" s="163" t="str">
        <f>IF(AK94&lt;5,"",IF(AK93&lt;1,"",IF(B109=5,B115-D115,IF(D109=5,D115-B115,""))))</f>
        <v/>
      </c>
      <c r="AH113" s="162" t="str">
        <f>IF(AK94&lt;5,"",IF(AK93&lt;2,"",IF(E109=5,E115-G115,IF(G109=5,G115-E115,""))))</f>
        <v/>
      </c>
      <c r="AI113" s="162" t="str">
        <f>IF(AK94&lt;5,"",IF(AK93&lt;3,"",IF(H109=5,H115-J115,IF(J109=5,J115-H115,""))))</f>
        <v/>
      </c>
      <c r="AJ113" s="162" t="str">
        <f>IF(AK94&lt;5,"",IF(AK93&lt;4,"",IF(K109=5,K115-M115,IF(M109=5,M115-K115,""))))</f>
        <v/>
      </c>
      <c r="AK113" s="162" t="str">
        <f>IF(AK94&lt;5,"",IF(AK93&lt;5,"",IF(N109=5,N115-P115,IF(P109=5,P115-N115,""))))</f>
        <v/>
      </c>
      <c r="AL113" s="162" t="str">
        <f>IF(AK94&lt;5,"",IF(AK93&lt;6,"",IF(Q109=5,Q115-S115,IF(S109=5,S115-Q115,""))))</f>
        <v/>
      </c>
      <c r="AM113" s="162" t="str">
        <f>IF(AK94&lt;5,"",IF(AK93&lt;7,"",IF(T109=5,T115-V115,IF(V109=5,V115-T115,""))))</f>
        <v/>
      </c>
      <c r="AN113" s="162" t="str">
        <f>IF(AK94&lt;5,"",IF(AK93&lt;8,"",IF(W109=5,W115-Y115,IF(Y109=5,Y115-W115,""))))</f>
        <v/>
      </c>
      <c r="AO113" s="162" t="str">
        <f>IF(AK94&lt;5,"",IF(AK93&lt;9,"",IF(Z109=5,Z115-AB115,IF(AB109=5,AB115-Z115,""))))</f>
        <v/>
      </c>
      <c r="AP113" s="162" t="str">
        <f>IF(AK94&lt;5,"",IF(AK93&lt;10,"",IF(AC109=5,AC115-AE115,IF(AE109=5,AE115-AC115,""))))</f>
        <v/>
      </c>
      <c r="AQ113" s="161">
        <f>SUM(AG113:AP113)</f>
        <v>0</v>
      </c>
    </row>
    <row r="114" spans="1:51" ht="15">
      <c r="A114" s="46" t="str">
        <f>IF(AK92&gt;4,"Game 5","")</f>
        <v/>
      </c>
      <c r="B114" s="112"/>
      <c r="C114" s="113" t="s">
        <v>37</v>
      </c>
      <c r="D114" s="114"/>
      <c r="E114" s="112"/>
      <c r="F114" s="113" t="str">
        <f>IF(AK93&gt;1,IF(AK92&gt;4,"/",""),"")</f>
        <v/>
      </c>
      <c r="G114" s="114"/>
      <c r="H114" s="112"/>
      <c r="I114" s="113" t="str">
        <f>IF(AK93&gt;2,IF(AK92&gt;4,"/",""),"")</f>
        <v/>
      </c>
      <c r="J114" s="114"/>
      <c r="K114" s="112"/>
      <c r="L114" s="113" t="str">
        <f>IF(AK93&gt;3,IF(AK92&gt;4,"/",""),"")</f>
        <v/>
      </c>
      <c r="M114" s="114"/>
      <c r="N114" s="112"/>
      <c r="O114" s="113" t="str">
        <f>IF(AK93&gt;4,IF(AK92&gt;4,"/",""),"")</f>
        <v/>
      </c>
      <c r="P114" s="114"/>
      <c r="Q114" s="112"/>
      <c r="R114" s="113" t="str">
        <f>IF(AK93&gt;5,IF(AK92&gt;4,"/",""),"")</f>
        <v/>
      </c>
      <c r="S114" s="114"/>
      <c r="T114" s="112"/>
      <c r="U114" s="113" t="str">
        <f>IF(AK93&gt;6,IF(AK92&gt;4,"/",""),"")</f>
        <v/>
      </c>
      <c r="V114" s="114"/>
      <c r="W114" s="112"/>
      <c r="X114" s="113" t="str">
        <f>IF(AK93&gt;7,IF(AK92&gt;4,"/",""),"")</f>
        <v/>
      </c>
      <c r="Y114" s="114"/>
      <c r="Z114" s="112"/>
      <c r="AA114" s="113" t="str">
        <f>IF(AK93&gt;8,IF(AK92&gt;4,"/",""),"")</f>
        <v/>
      </c>
      <c r="AB114" s="114"/>
      <c r="AC114" s="112"/>
      <c r="AD114" s="113" t="str">
        <f>IF(AK93&gt;9,IF(AK92&gt;4,"/",""),"")</f>
        <v/>
      </c>
      <c r="AE114" s="114"/>
      <c r="AF114" s="1"/>
      <c r="AG114" s="1"/>
      <c r="AH114" s="1"/>
      <c r="AI114" s="1"/>
      <c r="AJ114" s="1"/>
      <c r="AK114" s="1"/>
      <c r="AL114" s="1"/>
      <c r="AM114" s="1"/>
      <c r="AN114" s="1"/>
      <c r="AO114" s="1"/>
      <c r="AP114" s="1"/>
      <c r="AQ114" s="1"/>
    </row>
    <row r="115" spans="1:51" hidden="1">
      <c r="A115" s="116"/>
      <c r="B115" s="116">
        <f>IF($AK92=5,SUM(B110:B114),IF($AK92=4,SUM(B110:B113),IF($AK92=3,SUM(B110:B112),IF($AK92=2,SUM(B110:B111),B110))))</f>
        <v>47</v>
      </c>
      <c r="C115" s="116"/>
      <c r="D115" s="116">
        <f>IF($AK92=5,SUM(D110:D114),IF($AK92=4,SUM(D110:D113),IF($AK92=3,SUM(D110:D112),IF($AK92=2,SUM(D110:D111),D110))))</f>
        <v>8</v>
      </c>
      <c r="E115" s="116">
        <f>IF($AK92=5,SUM(E110:E114),IF($AK92=4,SUM(E110:E113),IF($AK92=3,SUM(E110:E112),IF($AK92=2,SUM(E110:E111),E110))))</f>
        <v>35</v>
      </c>
      <c r="F115" s="116"/>
      <c r="G115" s="116">
        <f>IF($AK92=5,SUM(G110:G114),IF($AK92=4,SUM(G110:G113),IF($AK92=3,SUM(G110:G112),IF($AK92=2,SUM(G110:G111),G110))))</f>
        <v>28</v>
      </c>
      <c r="H115" s="116">
        <f>IF($AK92=5,SUM(H110:H114),IF($AK92=4,SUM(H110:H113),IF($AK92=3,SUM(H110:H112),IF($AK92=2,SUM(H110:H111),H110))))</f>
        <v>47</v>
      </c>
      <c r="I115" s="116"/>
      <c r="J115" s="116">
        <f>IF($AK92=5,SUM(J110:J114),IF($AK92=4,SUM(J110:J113),IF($AK92=3,SUM(J110:J112),IF($AK92=2,SUM(J110:J111),J110))))</f>
        <v>21</v>
      </c>
      <c r="K115" s="116">
        <f>IF($AK92=5,SUM(K110:K114),IF($AK92=4,SUM(K110:K113),IF($AK92=3,SUM(K110:K112),IF($AK92=2,SUM(K110:K111),K110))))</f>
        <v>0</v>
      </c>
      <c r="L115" s="116"/>
      <c r="M115" s="116">
        <f>IF($AK92=5,SUM(M110:M114),IF($AK92=4,SUM(M110:M113),IF($AK92=3,SUM(M110:M112),IF($AK92=2,SUM(M110:M111),M110))))</f>
        <v>0</v>
      </c>
      <c r="N115" s="116">
        <f>IF($AK92=5,SUM(N110:N114),IF($AK92=4,SUM(N110:N113),IF($AK92=3,SUM(N110:N112),IF($AK92=2,SUM(N110:N111),N110))))</f>
        <v>0</v>
      </c>
      <c r="O115" s="116"/>
      <c r="P115" s="116">
        <f>IF($AK92=5,SUM(P110:P114),IF($AK92=4,SUM(P110:P113),IF($AK92=3,SUM(P110:P112),IF($AK92=2,SUM(P110:P111),P110))))</f>
        <v>0</v>
      </c>
      <c r="Q115" s="116">
        <f>IF($AK92=5,SUM(Q110:Q114),IF($AK92=4,SUM(Q110:Q113),IF($AK92=3,SUM(Q110:Q112),IF($AK92=2,SUM(Q110:Q111),Q110))))</f>
        <v>0</v>
      </c>
      <c r="R115" s="116"/>
      <c r="S115" s="116">
        <f>IF($AK92=5,SUM(S110:S114),IF($AK92=4,SUM(S110:S113),IF($AK92=3,SUM(S110:S112),IF($AK92=2,SUM(S110:S111),S110))))</f>
        <v>0</v>
      </c>
      <c r="T115" s="116">
        <f>IF($AK92=5,SUM(T110:T114),IF($AK92=4,SUM(T110:T113),IF($AK92=3,SUM(T110:T112),IF($AK92=2,SUM(T110:T111),T110))))</f>
        <v>0</v>
      </c>
      <c r="U115" s="116"/>
      <c r="V115" s="116">
        <f>IF($AK92=5,SUM(V110:V114),IF($AK92=4,SUM(V110:V113),IF($AK92=3,SUM(V110:V112),IF($AK92=2,SUM(V110:V111),V110))))</f>
        <v>0</v>
      </c>
      <c r="W115" s="116">
        <f>IF($AK92=5,SUM(W110:W114),IF($AK92=4,SUM(W110:W113),IF($AK92=3,SUM(W110:W112),IF($AK92=2,SUM(W110:W111),W110))))</f>
        <v>0</v>
      </c>
      <c r="X115" s="116"/>
      <c r="Y115" s="116">
        <f>IF($AK92=5,SUM(Y110:Y114),IF($AK92=4,SUM(Y110:Y113),IF($AK92=3,SUM(Y110:Y112),IF($AK92=2,SUM(Y110:Y111),Y110))))</f>
        <v>0</v>
      </c>
      <c r="Z115" s="116">
        <f>IF($AK92=5,SUM(Z110:Z114),IF($AK92=4,SUM(Z110:Z113),IF($AK92=3,SUM(Z110:Z112),IF($AK92=2,SUM(Z110:Z111),Z110))))</f>
        <v>0</v>
      </c>
      <c r="AA115" s="116"/>
      <c r="AB115" s="116">
        <f>IF($AK92=5,SUM(AB110:AB114),IF($AK92=4,SUM(AB110:AB113),IF($AK92=3,SUM(AB110:AB112),IF($AK92=2,SUM(AB110:AB111),AB110))))</f>
        <v>0</v>
      </c>
      <c r="AC115" s="116">
        <f>IF($AK92=5,SUM(AC110:AC114),IF($AK92=4,SUM(AC110:AC113),IF($AK92=3,SUM(AC110:AC112),IF($AK92=2,SUM(AC110:AC111),AC110))))</f>
        <v>0</v>
      </c>
      <c r="AD115" s="116"/>
      <c r="AE115" s="116">
        <f>IF($AK92=5,SUM(AE110:AE114),IF($AK92=4,SUM(AE110:AE113),IF($AK92=3,SUM(AE110:AE112),IF($AK92=2,SUM(AE110:AE111),AE110))))</f>
        <v>0</v>
      </c>
      <c r="AF115" s="1"/>
      <c r="AG115" s="1"/>
      <c r="AH115" s="1"/>
      <c r="AI115" s="1"/>
      <c r="AJ115" s="1"/>
      <c r="AK115" s="1"/>
      <c r="AL115" s="1"/>
      <c r="AM115" s="1"/>
      <c r="AN115" s="1"/>
      <c r="AO115" s="1"/>
      <c r="AP115" s="1"/>
      <c r="AQ115" s="1"/>
    </row>
    <row r="116" spans="1:51" s="115" customFormat="1" ht="12.75" hidden="1" customHeight="1">
      <c r="A116" s="115" t="s">
        <v>201</v>
      </c>
      <c r="B116" s="164">
        <f>IF(AND(B110&gt;D110,$AK93&gt;0,ISNUMBER(B110),ISNUMBER(D110)),1,0)</f>
        <v>1</v>
      </c>
      <c r="C116" s="164"/>
      <c r="D116" s="165">
        <f>IF(AND(D110&gt;B110,$AK93&gt;0,ISNUMBER(B110),ISNUMBER(D110)),1,0)</f>
        <v>0</v>
      </c>
      <c r="E116" s="164">
        <f>IF(AND(E110&gt;G110,$AK93&gt;1,ISNUMBER(E110),ISNUMBER(G110)),1,0)</f>
        <v>0</v>
      </c>
      <c r="F116" s="164"/>
      <c r="G116" s="165">
        <f>IF(AND(G110&gt;E110,$AK93&gt;1,ISNUMBER(E110),ISNUMBER(G110)),1,0)</f>
        <v>1</v>
      </c>
      <c r="H116" s="164">
        <f>IF(AND(H110&gt;J110,$AK93&gt;2,ISNUMBER(H110),ISNUMBER(J110)),1,0)</f>
        <v>1</v>
      </c>
      <c r="I116" s="164"/>
      <c r="J116" s="165">
        <f>IF(AND(J110&gt;H110,$AK93&gt;2,ISNUMBER(H110),ISNUMBER(J110)),1,0)</f>
        <v>0</v>
      </c>
      <c r="K116" s="164">
        <f>IF(AND(K110&gt;M110,$AK93&gt;3,ISNUMBER(K110),ISNUMBER(M110)),1,0)</f>
        <v>0</v>
      </c>
      <c r="L116" s="164"/>
      <c r="M116" s="165">
        <f>IF(AND(M110&gt;K110,$AK93&gt;3,ISNUMBER(K110),ISNUMBER(M110)),1,0)</f>
        <v>0</v>
      </c>
      <c r="N116" s="164">
        <f>IF(AND(N110&gt;P110,$AK93&gt;4,ISNUMBER(N110),ISNUMBER(P110)),1,0)</f>
        <v>0</v>
      </c>
      <c r="O116" s="164"/>
      <c r="P116" s="165">
        <f>IF(AND(P110&gt;N110,$AK93&gt;4,ISNUMBER(N110),ISNUMBER(P110)),1,0)</f>
        <v>0</v>
      </c>
      <c r="Q116" s="164">
        <f>IF(AND(Q110&gt;S110,$AK93&gt;5,ISNUMBER(Q110),ISNUMBER(S110)),1,0)</f>
        <v>0</v>
      </c>
      <c r="R116" s="164"/>
      <c r="S116" s="165">
        <f>IF(AND(S110&gt;Q110,$AK93&gt;5,ISNUMBER(Q110),ISNUMBER(S110)),1,0)</f>
        <v>0</v>
      </c>
      <c r="T116" s="164">
        <f>IF(AND(T110&gt;V110,$AK93&gt;6,ISNUMBER(T110),ISNUMBER(V110)),1,0)</f>
        <v>0</v>
      </c>
      <c r="U116" s="164"/>
      <c r="V116" s="165">
        <f>IF(AND(V110&gt;T110,$AK93&gt;6,ISNUMBER(T110),ISNUMBER(V110)),1,0)</f>
        <v>0</v>
      </c>
      <c r="W116" s="164">
        <f>IF(AND(W110&gt;Y110,$AK93&gt;7,ISNUMBER(W110),ISNUMBER(Y110)),1,0)</f>
        <v>0</v>
      </c>
      <c r="X116" s="164"/>
      <c r="Y116" s="165">
        <f>IF(AND(Y110&gt;W110,$AK93&gt;7,ISNUMBER(W110),ISNUMBER(Y110)),1,0)</f>
        <v>0</v>
      </c>
      <c r="Z116" s="164">
        <f>IF(AND(Z110&gt;AB110,$AK93&gt;8,ISNUMBER(Z110),ISNUMBER(AB110)),1,0)</f>
        <v>0</v>
      </c>
      <c r="AA116" s="164"/>
      <c r="AB116" s="165">
        <f>IF(AND(AB110&gt;Z110,$AK93&gt;8,ISNUMBER(Z110),ISNUMBER(AB110)),1,0)</f>
        <v>0</v>
      </c>
      <c r="AC116" s="164">
        <f>IF(AND(AC110&gt;AE110,$AK93&gt;9,ISNUMBER(AC110),ISNUMBER(AE110)),1,0)</f>
        <v>0</v>
      </c>
      <c r="AD116" s="164"/>
      <c r="AE116" s="165">
        <f>IF(AND(AE110&gt;AC110,$AK93&gt;9,ISNUMBER(AC110),ISNUMBER(AE110)),1,0)</f>
        <v>0</v>
      </c>
      <c r="AT116" s="513"/>
      <c r="AU116" s="513"/>
      <c r="AV116" s="513"/>
      <c r="AW116" s="514"/>
      <c r="AX116" s="513"/>
      <c r="AY116" s="513"/>
    </row>
    <row r="117" spans="1:51" s="115" customFormat="1" ht="12.75" hidden="1" customHeight="1">
      <c r="A117" s="115" t="s">
        <v>202</v>
      </c>
      <c r="B117" s="164">
        <f>IF(AND(B111&gt;D111,$AK93&gt;0,$AK92&gt;1,ISNUMBER(B111),ISNUMBER(D111)),1,0)</f>
        <v>1</v>
      </c>
      <c r="C117" s="164"/>
      <c r="D117" s="165">
        <f>IF(AND(D111&gt;B111,$AK93&gt;0,$AK92&gt;1,ISNUMBER(B111),ISNUMBER(D111)),1,0)</f>
        <v>0</v>
      </c>
      <c r="E117" s="164">
        <f>IF(AND(E111&gt;G111,$AK93&gt;1,$AK92&gt;1,ISNUMBER(E111),ISNUMBER(G111)),1,0)</f>
        <v>1</v>
      </c>
      <c r="F117" s="164"/>
      <c r="G117" s="165">
        <f>IF(AND(G111&gt;E111,$AK93&gt;1,$AK92&gt;1,ISNUMBER(E111),ISNUMBER(G111)),1,0)</f>
        <v>0</v>
      </c>
      <c r="H117" s="164">
        <f>IF(AND(H111&gt;J111,$AK93&gt;2,$AK92&gt;1,ISNUMBER(H111),ISNUMBER(J111)),1,0)</f>
        <v>1</v>
      </c>
      <c r="I117" s="164"/>
      <c r="J117" s="165">
        <f>IF(AND(J111&gt;H111,$AK93&gt;2,$AK92&gt;1,ISNUMBER(H111),ISNUMBER(J111)),1,0)</f>
        <v>0</v>
      </c>
      <c r="K117" s="164">
        <f>IF(AND(K111&gt;M111,$AK93&gt;3,$AK92&gt;1,ISNUMBER(K111),ISNUMBER(M111)),1,0)</f>
        <v>0</v>
      </c>
      <c r="L117" s="164"/>
      <c r="M117" s="165">
        <f>IF(AND(M111&gt;K111,$AK93&gt;3,$AK92&gt;1,ISNUMBER(K111),ISNUMBER(M111)),1,0)</f>
        <v>0</v>
      </c>
      <c r="N117" s="164">
        <f>IF(AND(N111&gt;P111,$AK93&gt;4,$AK92&gt;1,ISNUMBER(N111),ISNUMBER(P111)),1,0)</f>
        <v>0</v>
      </c>
      <c r="O117" s="164"/>
      <c r="P117" s="165">
        <f>IF(AND(P111&gt;N111,$AK93&gt;4,$AK92&gt;1,ISNUMBER(N111),ISNUMBER(P111)),1,0)</f>
        <v>0</v>
      </c>
      <c r="Q117" s="164">
        <f>IF(AND(Q111&gt;S111,$AK93&gt;5,$AK92&gt;1,ISNUMBER(Q111),ISNUMBER(S111)),1,0)</f>
        <v>0</v>
      </c>
      <c r="R117" s="164"/>
      <c r="S117" s="165">
        <f>IF(AND(S111&gt;Q111,$AK93&gt;5,$AK92&gt;1,ISNUMBER(Q111),ISNUMBER(S111)),1,0)</f>
        <v>0</v>
      </c>
      <c r="T117" s="164">
        <f>IF(AND(T111&gt;V111,$AK93&gt;6,$AK92&gt;1,ISNUMBER(T111),ISNUMBER(V111)),1,0)</f>
        <v>0</v>
      </c>
      <c r="U117" s="164"/>
      <c r="V117" s="165">
        <f>IF(AND(V111&gt;T111,$AK93&gt;6,$AK92&gt;1,ISNUMBER(T111),ISNUMBER(V111)),1,0)</f>
        <v>0</v>
      </c>
      <c r="W117" s="164">
        <f>IF(AND(W111&gt;Y111,$AK93&gt;7,$AK92&gt;1,ISNUMBER(W111),ISNUMBER(Y111)),1,0)</f>
        <v>0</v>
      </c>
      <c r="X117" s="164"/>
      <c r="Y117" s="165">
        <f>IF(AND(Y111&gt;W111,$AK93&gt;7,$AK92&gt;1,ISNUMBER(W111),ISNUMBER(Y111)),1,0)</f>
        <v>0</v>
      </c>
      <c r="Z117" s="164">
        <f>IF(AND(Z111&gt;AB111,$AK93&gt;8,$AK92&gt;1,ISNUMBER(Z111),ISNUMBER(AB111)),1,0)</f>
        <v>0</v>
      </c>
      <c r="AA117" s="164"/>
      <c r="AB117" s="165">
        <f>IF(AND(AB111&gt;Z111,$AK93&gt;8,$AK92&gt;1,ISNUMBER(Z111),ISNUMBER(AB111)),1,0)</f>
        <v>0</v>
      </c>
      <c r="AC117" s="164">
        <f>IF(AND(AC111&gt;AE111,$AK93&gt;9,$AK92&gt;1,ISNUMBER(AC111),ISNUMBER(AE111)),1,0)</f>
        <v>0</v>
      </c>
      <c r="AD117" s="164"/>
      <c r="AE117" s="165">
        <f>IF(AND(AE111&gt;AC111,$AK93&gt;9,$AK92&gt;1,ISNUMBER(AC111),ISNUMBER(AE111)),1,0)</f>
        <v>0</v>
      </c>
      <c r="AT117" s="513"/>
      <c r="AU117" s="513"/>
      <c r="AV117" s="513"/>
      <c r="AW117" s="514"/>
      <c r="AX117" s="513"/>
      <c r="AY117" s="513"/>
    </row>
    <row r="118" spans="1:51" s="115" customFormat="1" ht="12.75" hidden="1" customHeight="1">
      <c r="A118" s="115" t="s">
        <v>203</v>
      </c>
      <c r="B118" s="164">
        <f>IF(AND(B112&gt;D112,$AK93&gt;0,$AK92&gt;2,ISNUMBER(B112),ISNUMBER(D112)),1,0)</f>
        <v>0</v>
      </c>
      <c r="C118" s="164"/>
      <c r="D118" s="165">
        <f>IF(AND(D112&gt;B112,$AK93&gt;0,$AK92&gt;2,ISNUMBER(B112),ISNUMBER(D112)),1,0)</f>
        <v>0</v>
      </c>
      <c r="E118" s="164">
        <f>IF(AND(E112&gt;G112,$AK93&gt;1,$AK92&gt;2,ISNUMBER(E112),ISNUMBER(G112)),1,0)</f>
        <v>0</v>
      </c>
      <c r="F118" s="164"/>
      <c r="G118" s="165">
        <f>IF(AND(G112&gt;E112,$AK93&gt;1,$AK92&gt;2,ISNUMBER(E112),ISNUMBER(G112)),1,0)</f>
        <v>0</v>
      </c>
      <c r="H118" s="164">
        <f>IF(AND(H112&gt;J112,$AK93&gt;2,$AK92&gt;2,ISNUMBER(H112),ISNUMBER(J112)),1,0)</f>
        <v>0</v>
      </c>
      <c r="I118" s="164"/>
      <c r="J118" s="165">
        <f>IF(AND(J112&gt;H112,$AK93&gt;2,$AK92&gt;2,ISNUMBER(H112),ISNUMBER(J112)),1,0)</f>
        <v>0</v>
      </c>
      <c r="K118" s="164">
        <f>IF(AND(K112&gt;M112,$AK93&gt;3,$AK92&gt;2,ISNUMBER(K112),ISNUMBER(M112)),1,0)</f>
        <v>0</v>
      </c>
      <c r="L118" s="164"/>
      <c r="M118" s="165">
        <f>IF(AND(M112&gt;K112,$AK93&gt;3,$AK92&gt;2,ISNUMBER(K112),ISNUMBER(M112)),1,0)</f>
        <v>0</v>
      </c>
      <c r="N118" s="164">
        <f>IF(AND(N112&gt;P112,$AK93&gt;4,$AK92&gt;2,ISNUMBER(N112),ISNUMBER(P112)),1,0)</f>
        <v>0</v>
      </c>
      <c r="O118" s="164"/>
      <c r="P118" s="165">
        <f>IF(AND(P112&gt;N112,$AK93&gt;4,$AK92&gt;2,ISNUMBER(N112),ISNUMBER(P112)),1,0)</f>
        <v>0</v>
      </c>
      <c r="Q118" s="164">
        <f>IF(AND(Q112&gt;S112,$AK93&gt;5,$AK92&gt;2,ISNUMBER(Q112),ISNUMBER(S112)),1,0)</f>
        <v>0</v>
      </c>
      <c r="R118" s="164"/>
      <c r="S118" s="165">
        <f>IF(AND(S112&gt;Q112,$AK93&gt;5,$AK92&gt;2,ISNUMBER(Q112),ISNUMBER(S112)),1,0)</f>
        <v>0</v>
      </c>
      <c r="T118" s="164">
        <f>IF(AND(T112&gt;V112,$AK93&gt;6,$AK92&gt;2,ISNUMBER(T112),ISNUMBER(V112)),1,0)</f>
        <v>0</v>
      </c>
      <c r="U118" s="164"/>
      <c r="V118" s="165">
        <f>IF(AND(V112&gt;T112,$AK93&gt;6,$AK92&gt;2,ISNUMBER(T112),ISNUMBER(V112)),1,0)</f>
        <v>0</v>
      </c>
      <c r="W118" s="164">
        <f>IF(AND(W112&gt;Y112,$AK93&gt;7,$AK92&gt;2,ISNUMBER(W112),ISNUMBER(Y112)),1,0)</f>
        <v>0</v>
      </c>
      <c r="X118" s="164"/>
      <c r="Y118" s="165">
        <f>IF(AND(Y112&gt;W112,$AK93&gt;7,$AK92&gt;2,ISNUMBER(W112),ISNUMBER(Y112)),1,0)</f>
        <v>0</v>
      </c>
      <c r="Z118" s="164">
        <f>IF(AND(Z112&gt;AB112,$AK93&gt;8,$AK92&gt;2,ISNUMBER(Z112),ISNUMBER(AB112)),1,0)</f>
        <v>0</v>
      </c>
      <c r="AA118" s="164"/>
      <c r="AB118" s="165">
        <f>IF(AND(AB112&gt;Z112,$AK93&gt;8,$AK92&gt;2,ISNUMBER(Z112),ISNUMBER(AB112)),1,0)</f>
        <v>0</v>
      </c>
      <c r="AC118" s="164">
        <f>IF(AND(AC112&gt;AE112,$AK93&gt;9,$AK92&gt;2,ISNUMBER(AC112),ISNUMBER(AE112)),1,0)</f>
        <v>0</v>
      </c>
      <c r="AD118" s="164"/>
      <c r="AE118" s="165">
        <f>IF(AND(AE112&gt;AC112,$AK93&gt;9,$AK92&gt;2,ISNUMBER(AC112),ISNUMBER(AE112)),1,0)</f>
        <v>0</v>
      </c>
      <c r="AT118" s="513"/>
      <c r="AU118" s="513"/>
      <c r="AV118" s="513"/>
      <c r="AW118" s="514"/>
      <c r="AX118" s="513"/>
      <c r="AY118" s="513"/>
    </row>
    <row r="119" spans="1:51" s="115" customFormat="1" ht="12.75" hidden="1" customHeight="1">
      <c r="A119" s="115" t="s">
        <v>204</v>
      </c>
      <c r="B119" s="164">
        <f>IF(AND(B113&gt;D113,$AK93&gt;0,$AK92&gt;3,ISNUMBER(B113),ISNUMBER(D113)),1,0)</f>
        <v>0</v>
      </c>
      <c r="C119" s="164"/>
      <c r="D119" s="165">
        <f>IF(AND(D113&gt;B113,$AK93&gt;0,$AK92&gt;3,ISNUMBER(B113),ISNUMBER(D113)),1,0)</f>
        <v>0</v>
      </c>
      <c r="E119" s="164">
        <f>IF(AND(E113&gt;G113,$AK93&gt;1,$AK92&gt;3,ISNUMBER(E113),ISNUMBER(G113)),1,0)</f>
        <v>0</v>
      </c>
      <c r="F119" s="164"/>
      <c r="G119" s="165">
        <f>IF(AND(G113&gt;E113,$AK93&gt;1,$AK92&gt;3,ISNUMBER(E113),ISNUMBER(G113)),1,0)</f>
        <v>0</v>
      </c>
      <c r="H119" s="164">
        <f>IF(AND(H113&gt;J113,$AK93&gt;2,$AK92&gt;3,ISNUMBER(H113),ISNUMBER(J113)),1,0)</f>
        <v>0</v>
      </c>
      <c r="I119" s="164"/>
      <c r="J119" s="165">
        <f>IF(AND(J113&gt;H113,$AK93&gt;2,$AK92&gt;3,ISNUMBER(H113),ISNUMBER(J113)),1,0)</f>
        <v>0</v>
      </c>
      <c r="K119" s="164">
        <f>IF(AND(K113&gt;M113,$AK93&gt;3,$AK92&gt;3,ISNUMBER(K113),ISNUMBER(M113)),1,0)</f>
        <v>0</v>
      </c>
      <c r="L119" s="164"/>
      <c r="M119" s="165">
        <f>IF(AND(M113&gt;K113,$AK93&gt;3,$AK92&gt;3,ISNUMBER(K113),ISNUMBER(M113)),1,0)</f>
        <v>0</v>
      </c>
      <c r="N119" s="164">
        <f>IF(AND(N113&gt;P113,$AK93&gt;4,$AK92&gt;3,ISNUMBER(N113),ISNUMBER(P113)),1,0)</f>
        <v>0</v>
      </c>
      <c r="O119" s="164"/>
      <c r="P119" s="165">
        <f>IF(AND(P113&gt;N113,$AK93&gt;4,$AK92&gt;3,ISNUMBER(N113),ISNUMBER(P113)),1,0)</f>
        <v>0</v>
      </c>
      <c r="Q119" s="164">
        <f>IF(AND(Q113&gt;S113,$AK93&gt;5,$AK92&gt;3,ISNUMBER(Q113),ISNUMBER(S113)),1,0)</f>
        <v>0</v>
      </c>
      <c r="R119" s="164"/>
      <c r="S119" s="165">
        <f>IF(AND(S113&gt;Q113,$AK93&gt;5,$AK92&gt;3,ISNUMBER(Q113),ISNUMBER(S113)),1,0)</f>
        <v>0</v>
      </c>
      <c r="T119" s="164">
        <f>IF(AND(T113&gt;V113,$AK93&gt;6,$AK92&gt;3,ISNUMBER(T113),ISNUMBER(V113)),1,0)</f>
        <v>0</v>
      </c>
      <c r="U119" s="164"/>
      <c r="V119" s="165">
        <f>IF(AND(V113&gt;T113,$AK93&gt;6,$AK92&gt;3,ISNUMBER(T113),ISNUMBER(V113)),1,0)</f>
        <v>0</v>
      </c>
      <c r="W119" s="164">
        <f>IF(AND(W113&gt;Y113,$AK93&gt;7,$AK92&gt;3,ISNUMBER(W113),ISNUMBER(Y113)),1,0)</f>
        <v>0</v>
      </c>
      <c r="X119" s="164"/>
      <c r="Y119" s="165">
        <f>IF(AND(Y113&gt;W113,$AK93&gt;7,$AK92&gt;3,ISNUMBER(W113),ISNUMBER(Y113)),1,0)</f>
        <v>0</v>
      </c>
      <c r="Z119" s="164">
        <f>IF(AND(Z113&gt;AB113,$AK93&gt;8,$AK92&gt;3,ISNUMBER(Z113),ISNUMBER(AB113)),1,0)</f>
        <v>0</v>
      </c>
      <c r="AA119" s="164"/>
      <c r="AB119" s="165">
        <f>IF(AND(AB113&gt;Z113,$AK93&gt;8,$AK92&gt;3,ISNUMBER(Z113),ISNUMBER(AB113)),1,0)</f>
        <v>0</v>
      </c>
      <c r="AC119" s="164">
        <f>IF(AND(AC113&gt;AE113,$AK93&gt;9,$AK92&gt;3,ISNUMBER(AC113),ISNUMBER(AE113)),1,0)</f>
        <v>0</v>
      </c>
      <c r="AD119" s="164"/>
      <c r="AE119" s="165">
        <f>IF(AND(AE113&gt;AC113,$AK93&gt;9,$AK92&gt;3,ISNUMBER(AC113),ISNUMBER(AE113)),1,0)</f>
        <v>0</v>
      </c>
      <c r="AT119" s="513"/>
      <c r="AU119" s="513"/>
      <c r="AV119" s="513"/>
      <c r="AW119" s="514"/>
      <c r="AX119" s="513"/>
      <c r="AY119" s="513"/>
    </row>
    <row r="120" spans="1:51" s="115" customFormat="1" ht="12.75" hidden="1" customHeight="1">
      <c r="A120" s="115" t="s">
        <v>205</v>
      </c>
      <c r="B120" s="164">
        <f>IF(AND(B114&gt;D114,$AK93&gt;0,$AK92&gt;4,ISNUMBER(B114),ISNUMBER(D114)),1,0)</f>
        <v>0</v>
      </c>
      <c r="C120" s="164"/>
      <c r="D120" s="165">
        <f>IF(AND(D114&gt;B114,$AK93&gt;0,$AK92&gt;4,ISNUMBER(B114),ISNUMBER(D114)),1,0)</f>
        <v>0</v>
      </c>
      <c r="E120" s="164">
        <f>IF(AND(E114&gt;G114,$AK93&gt;1,$AK92&gt;4,ISNUMBER(E114),ISNUMBER(G114)),1,0)</f>
        <v>0</v>
      </c>
      <c r="F120" s="164"/>
      <c r="G120" s="165">
        <f>IF(AND(G114&gt;E114,$AK93&gt;1,$AK92&gt;4,ISNUMBER(E114),ISNUMBER(G114)),1,0)</f>
        <v>0</v>
      </c>
      <c r="H120" s="164">
        <f>IF(AND(H114&gt;J114,$AK93&gt;2,$AK92&gt;4,ISNUMBER(H114),ISNUMBER(J114)),1,0)</f>
        <v>0</v>
      </c>
      <c r="I120" s="164"/>
      <c r="J120" s="165">
        <f>IF(AND(J114&gt;H114,$AK93&gt;2,$AK92&gt;4,ISNUMBER(H114),ISNUMBER(J114)),1,0)</f>
        <v>0</v>
      </c>
      <c r="K120" s="164">
        <f>IF(AND(K114&gt;M114,$AK93&gt;3,$AK92&gt;4,ISNUMBER(K114),ISNUMBER(M114)),1,0)</f>
        <v>0</v>
      </c>
      <c r="L120" s="164"/>
      <c r="M120" s="165">
        <f>IF(AND(M114&gt;K114,$AK93&gt;3,$AK92&gt;4,ISNUMBER(K114),ISNUMBER(M114)),1,0)</f>
        <v>0</v>
      </c>
      <c r="N120" s="164">
        <f>IF(AND(N114&gt;P114,$AK93&gt;4,$AK92&gt;4,ISNUMBER(N114),ISNUMBER(P114)),1,0)</f>
        <v>0</v>
      </c>
      <c r="O120" s="164"/>
      <c r="P120" s="165">
        <f>IF(AND(P114&gt;N114,$AK93&gt;4,$AK92&gt;4,ISNUMBER(N114),ISNUMBER(P114)),1,0)</f>
        <v>0</v>
      </c>
      <c r="Q120" s="164">
        <f>IF(AND(Q114&gt;S114,$AK93&gt;5,$AK92&gt;4,ISNUMBER(Q114),ISNUMBER(S114)),1,0)</f>
        <v>0</v>
      </c>
      <c r="R120" s="164"/>
      <c r="S120" s="165">
        <f>IF(AND(S114&gt;Q114,$AK93&gt;5,$AK92&gt;4,ISNUMBER(Q114),ISNUMBER(S114)),1,0)</f>
        <v>0</v>
      </c>
      <c r="T120" s="164">
        <f>IF(AND(T114&gt;V114,$AK93&gt;6,$AK92&gt;4,ISNUMBER(T114),ISNUMBER(V114)),1,0)</f>
        <v>0</v>
      </c>
      <c r="U120" s="164"/>
      <c r="V120" s="165">
        <f>IF(AND(V114&gt;T114,$AK93&gt;6,$AK92&gt;4,ISNUMBER(T114),ISNUMBER(V114)),1,0)</f>
        <v>0</v>
      </c>
      <c r="W120" s="164">
        <f>IF(AND(W114&gt;Y114,$AK93&gt;7,$AK92&gt;4,ISNUMBER(W114),ISNUMBER(Y114)),1,0)</f>
        <v>0</v>
      </c>
      <c r="X120" s="164"/>
      <c r="Y120" s="165">
        <f>IF(AND(Y114&gt;W114,$AK93&gt;7,$AK92&gt;4,ISNUMBER(W114),ISNUMBER(Y114)),1,0)</f>
        <v>0</v>
      </c>
      <c r="Z120" s="164">
        <f>IF(AND(Z114&gt;AB114,$AK93&gt;8,$AK92&gt;4,ISNUMBER(Z114),ISNUMBER(AB114)),1,0)</f>
        <v>0</v>
      </c>
      <c r="AA120" s="164"/>
      <c r="AB120" s="165">
        <f>IF(AND(AB114&gt;Z114,$AK93&gt;8,$AK92&gt;4,ISNUMBER(Z114),ISNUMBER(AB114)),1,0)</f>
        <v>0</v>
      </c>
      <c r="AC120" s="164">
        <f>IF(AND(AC114&gt;AE114,$AK93&gt;9,$AK92&gt;4,ISNUMBER(AC114),ISNUMBER(AE114)),1,0)</f>
        <v>0</v>
      </c>
      <c r="AD120" s="164"/>
      <c r="AE120" s="165">
        <f>IF(AND(AE114&gt;AC114,$AK93&gt;9,$AK92&gt;4,ISNUMBER(AC114),ISNUMBER(AE114)),1,0)</f>
        <v>0</v>
      </c>
      <c r="AT120" s="513"/>
      <c r="AU120" s="513"/>
      <c r="AV120" s="513"/>
      <c r="AW120" s="514"/>
      <c r="AX120" s="513"/>
      <c r="AY120" s="513"/>
    </row>
    <row r="121" spans="1:51" s="115" customFormat="1" ht="38.25" hidden="1" customHeight="1">
      <c r="A121" s="167" t="s">
        <v>206</v>
      </c>
      <c r="B121" s="115">
        <f>SUM(B116:B120)</f>
        <v>2</v>
      </c>
      <c r="D121" s="168">
        <f>SUM(D116:D120)</f>
        <v>0</v>
      </c>
      <c r="E121" s="115">
        <f>SUM(E116:E120)</f>
        <v>1</v>
      </c>
      <c r="G121" s="168">
        <f>SUM(G116:G120)</f>
        <v>1</v>
      </c>
      <c r="H121" s="115">
        <f>SUM(H116:H120)</f>
        <v>2</v>
      </c>
      <c r="J121" s="168">
        <f>SUM(J116:J120)</f>
        <v>0</v>
      </c>
      <c r="K121" s="115">
        <f>SUM(K116:K120)</f>
        <v>0</v>
      </c>
      <c r="M121" s="168">
        <f>SUM(M116:M120)</f>
        <v>0</v>
      </c>
      <c r="N121" s="115">
        <f>SUM(N116:N120)</f>
        <v>0</v>
      </c>
      <c r="P121" s="168">
        <f>SUM(P116:P120)</f>
        <v>0</v>
      </c>
      <c r="Q121" s="115">
        <f>SUM(Q116:Q120)</f>
        <v>0</v>
      </c>
      <c r="S121" s="168">
        <f>SUM(S116:S120)</f>
        <v>0</v>
      </c>
      <c r="T121" s="115">
        <f>SUM(T116:T120)</f>
        <v>0</v>
      </c>
      <c r="V121" s="168">
        <f>SUM(V116:V120)</f>
        <v>0</v>
      </c>
      <c r="W121" s="115">
        <f>SUM(W116:W120)</f>
        <v>0</v>
      </c>
      <c r="Y121" s="168">
        <f>SUM(Y116:Y120)</f>
        <v>0</v>
      </c>
      <c r="Z121" s="115">
        <f>SUM(Z116:Z120)</f>
        <v>0</v>
      </c>
      <c r="AB121" s="168">
        <f>SUM(AB116:AB120)</f>
        <v>0</v>
      </c>
      <c r="AC121" s="115">
        <f>SUM(AC116:AC120)</f>
        <v>0</v>
      </c>
      <c r="AE121" s="168">
        <f>SUM(AE116:AE120)</f>
        <v>0</v>
      </c>
      <c r="AT121" s="513"/>
      <c r="AU121" s="513"/>
      <c r="AV121" s="513"/>
      <c r="AW121" s="514"/>
      <c r="AX121" s="513"/>
      <c r="AY121" s="513"/>
    </row>
    <row r="122" spans="1:51" s="115" customFormat="1" ht="25.5" hidden="1" customHeight="1">
      <c r="A122" s="167" t="s">
        <v>207</v>
      </c>
      <c r="B122" s="115">
        <f>IF(B121&gt;D121,IF(C156=AK92,1,IF(C156=AK92-1,1,0)),0)</f>
        <v>1</v>
      </c>
      <c r="C122" s="115">
        <f>B122+D122</f>
        <v>1</v>
      </c>
      <c r="D122" s="168">
        <f>IF(D121&gt;B121,IF(C156=AK92,1,IF(C156=AK92-1,1,0)),0)</f>
        <v>0</v>
      </c>
      <c r="E122" s="115">
        <f>IF(E121&gt;G121,IF(F156=AK92,1,IF(F156=AK92-1,1,0)),0)</f>
        <v>0</v>
      </c>
      <c r="F122" s="115">
        <f>E122+G122</f>
        <v>0</v>
      </c>
      <c r="G122" s="168">
        <f>IF(G121&gt;E121,IF(F156=AK92,1,IF(F156=AK92-1,1,0)),0)</f>
        <v>0</v>
      </c>
      <c r="H122" s="115">
        <f>IF(H121&gt;J121,IF(I156=AK92,1,IF(I156=AK92-1,1,0)),0)</f>
        <v>1</v>
      </c>
      <c r="I122" s="115">
        <f>H122+J122</f>
        <v>1</v>
      </c>
      <c r="J122" s="168">
        <f>IF(J121&gt;H121,IF(I156=AK92,1,IF(I156=AK92-1,1,0)),0)</f>
        <v>0</v>
      </c>
      <c r="K122" s="115">
        <f>IF(K121&gt;M121,IF(L156=AK92,1,IF(L156=AK92-1,1,0)),0)</f>
        <v>0</v>
      </c>
      <c r="L122" s="115">
        <f>K122+M122</f>
        <v>0</v>
      </c>
      <c r="M122" s="168">
        <f>IF(M121&gt;K121,IF(L156=AK92,1,IF(L156=AK92-1,1,0)),0)</f>
        <v>0</v>
      </c>
      <c r="N122" s="115">
        <f>IF(N121&gt;P121,IF(O156=AK92,1,IF(O156=AK92-1,1,0)),0)</f>
        <v>0</v>
      </c>
      <c r="O122" s="115">
        <f>N122+P122</f>
        <v>0</v>
      </c>
      <c r="P122" s="168">
        <f>IF(P121&gt;N121,IF(O156=AK92,1,IF(O156=AK92-1,1,0)),0)</f>
        <v>0</v>
      </c>
      <c r="Q122" s="115">
        <f>IF(Q121&gt;S121,IF(R156=AK92,1,IF(R156=AK92-1,1,0)),0)</f>
        <v>0</v>
      </c>
      <c r="R122" s="115">
        <f>Q122+S122</f>
        <v>0</v>
      </c>
      <c r="S122" s="168">
        <f>IF(S121&gt;Q121,IF(R156=AK92,1,IF(R156=AK92-1,1,0)),0)</f>
        <v>0</v>
      </c>
      <c r="T122" s="115">
        <f>IF(T121&gt;V121,IF(U156=AK92,1,IF(U156=AK92-1,1,0)),0)</f>
        <v>0</v>
      </c>
      <c r="U122" s="115">
        <f>T122+V122</f>
        <v>0</v>
      </c>
      <c r="V122" s="168">
        <f>IF(V121&gt;T121,IF(U156=AK92,1,IF(U156=AK92-1,1,0)),0)</f>
        <v>0</v>
      </c>
      <c r="W122" s="115">
        <f>IF(W121&gt;Y121,IF(X156=AK92,1,IF(X156=AK92-1,1,0)),0)</f>
        <v>0</v>
      </c>
      <c r="X122" s="115">
        <f>W122+Y122</f>
        <v>0</v>
      </c>
      <c r="Y122" s="168">
        <f>IF(Y121&gt;W121,IF(X156=AK92,1,IF(X156=AK92-1,1,0)),0)</f>
        <v>0</v>
      </c>
      <c r="Z122" s="115">
        <f>IF(Z121&gt;AB121,IF(AA156=AK92,1,IF(AA156=AK92-1,1,0)),0)</f>
        <v>0</v>
      </c>
      <c r="AA122" s="115">
        <f>Z122+AB122</f>
        <v>0</v>
      </c>
      <c r="AB122" s="168">
        <f>IF(AB121&gt;Z121,IF(AA156=AK92,1,IF(AA156=AK92-1,1,0)),0)</f>
        <v>0</v>
      </c>
      <c r="AC122" s="115">
        <f>IF(AC121&gt;AE121,IF(AD156=AK92,1,IF(AD156=AK92-1,1,0)),0)</f>
        <v>0</v>
      </c>
      <c r="AD122" s="115">
        <f>AC122+AE122</f>
        <v>0</v>
      </c>
      <c r="AE122" s="168">
        <f>IF(AE121&gt;AC121,IF(AD156=AK92,1,IF(AD156=AK92-1,1,0)),0)</f>
        <v>0</v>
      </c>
      <c r="AT122" s="513"/>
      <c r="AU122" s="513"/>
      <c r="AV122" s="513"/>
      <c r="AW122" s="514"/>
      <c r="AX122" s="513"/>
      <c r="AY122" s="513"/>
    </row>
    <row r="123" spans="1:51" s="115" customFormat="1" ht="25.5" hidden="1" customHeight="1">
      <c r="A123" s="167"/>
      <c r="D123" s="168"/>
      <c r="G123" s="168"/>
      <c r="J123" s="168"/>
      <c r="M123" s="168"/>
      <c r="P123" s="168"/>
      <c r="S123" s="168"/>
      <c r="V123" s="168"/>
      <c r="Y123" s="168"/>
      <c r="AB123" s="168"/>
      <c r="AE123" s="168"/>
      <c r="AT123" s="513"/>
      <c r="AU123" s="513"/>
      <c r="AV123" s="513"/>
      <c r="AW123" s="514"/>
      <c r="AX123" s="513"/>
      <c r="AY123" s="513"/>
    </row>
    <row r="124" spans="1:51" s="115" customFormat="1" ht="12.75" hidden="1" customHeight="1">
      <c r="A124" s="115" t="s">
        <v>208</v>
      </c>
      <c r="B124" s="115">
        <f>IF(B116=1,B110,0)</f>
        <v>17</v>
      </c>
      <c r="D124" s="168">
        <f t="shared" ref="D124:E128" si="11">IF(D116=1,D110,0)</f>
        <v>0</v>
      </c>
      <c r="E124" s="115">
        <f t="shared" si="11"/>
        <v>0</v>
      </c>
      <c r="G124" s="168">
        <f t="shared" ref="G124:H128" si="12">IF(G116=1,G110,0)</f>
        <v>16</v>
      </c>
      <c r="H124" s="115">
        <f t="shared" si="12"/>
        <v>20</v>
      </c>
      <c r="J124" s="168">
        <f t="shared" ref="J124:K128" si="13">IF(J116=1,J110,0)</f>
        <v>0</v>
      </c>
      <c r="K124" s="115">
        <f t="shared" si="13"/>
        <v>0</v>
      </c>
      <c r="M124" s="168">
        <f t="shared" ref="M124:N128" si="14">IF(M116=1,M110,0)</f>
        <v>0</v>
      </c>
      <c r="N124" s="115">
        <f t="shared" si="14"/>
        <v>0</v>
      </c>
      <c r="P124" s="168">
        <f t="shared" ref="P124:Q128" si="15">IF(P116=1,P110,0)</f>
        <v>0</v>
      </c>
      <c r="Q124" s="115">
        <f t="shared" si="15"/>
        <v>0</v>
      </c>
      <c r="S124" s="168">
        <f t="shared" ref="S124:T128" si="16">IF(S116=1,S110,0)</f>
        <v>0</v>
      </c>
      <c r="T124" s="115">
        <f t="shared" si="16"/>
        <v>0</v>
      </c>
      <c r="V124" s="168">
        <f t="shared" ref="V124:W128" si="17">IF(V116=1,V110,0)</f>
        <v>0</v>
      </c>
      <c r="W124" s="115">
        <f t="shared" si="17"/>
        <v>0</v>
      </c>
      <c r="Y124" s="168">
        <f t="shared" ref="Y124:Z128" si="18">IF(Y116=1,Y110,0)</f>
        <v>0</v>
      </c>
      <c r="Z124" s="115">
        <f t="shared" si="18"/>
        <v>0</v>
      </c>
      <c r="AB124" s="168">
        <f t="shared" ref="AB124:AC128" si="19">IF(AB116=1,AB110,0)</f>
        <v>0</v>
      </c>
      <c r="AC124" s="115">
        <f t="shared" si="19"/>
        <v>0</v>
      </c>
      <c r="AE124" s="168">
        <f>IF(AE116=1,AE110,0)</f>
        <v>0</v>
      </c>
      <c r="AT124" s="513"/>
      <c r="AU124" s="513"/>
      <c r="AV124" s="513"/>
      <c r="AW124" s="514"/>
      <c r="AX124" s="513"/>
      <c r="AY124" s="513"/>
    </row>
    <row r="125" spans="1:51" s="115" customFormat="1" ht="12.75" hidden="1" customHeight="1">
      <c r="A125" s="115" t="s">
        <v>209</v>
      </c>
      <c r="B125" s="115">
        <f>IF(B117=1,B111,0)</f>
        <v>30</v>
      </c>
      <c r="D125" s="168">
        <f t="shared" si="11"/>
        <v>0</v>
      </c>
      <c r="E125" s="115">
        <f t="shared" si="11"/>
        <v>20</v>
      </c>
      <c r="G125" s="168">
        <f t="shared" si="12"/>
        <v>0</v>
      </c>
      <c r="H125" s="115">
        <f t="shared" si="12"/>
        <v>27</v>
      </c>
      <c r="J125" s="168">
        <f t="shared" si="13"/>
        <v>0</v>
      </c>
      <c r="K125" s="115">
        <f t="shared" si="13"/>
        <v>0</v>
      </c>
      <c r="M125" s="168">
        <f t="shared" si="14"/>
        <v>0</v>
      </c>
      <c r="N125" s="115">
        <f t="shared" si="14"/>
        <v>0</v>
      </c>
      <c r="P125" s="168">
        <f t="shared" si="15"/>
        <v>0</v>
      </c>
      <c r="Q125" s="115">
        <f t="shared" si="15"/>
        <v>0</v>
      </c>
      <c r="S125" s="168">
        <f t="shared" si="16"/>
        <v>0</v>
      </c>
      <c r="T125" s="115">
        <f t="shared" si="16"/>
        <v>0</v>
      </c>
      <c r="V125" s="168">
        <f t="shared" si="17"/>
        <v>0</v>
      </c>
      <c r="W125" s="115">
        <f t="shared" si="17"/>
        <v>0</v>
      </c>
      <c r="Y125" s="168">
        <f t="shared" si="18"/>
        <v>0</v>
      </c>
      <c r="Z125" s="115">
        <f t="shared" si="18"/>
        <v>0</v>
      </c>
      <c r="AB125" s="168">
        <f t="shared" si="19"/>
        <v>0</v>
      </c>
      <c r="AC125" s="115">
        <f t="shared" si="19"/>
        <v>0</v>
      </c>
      <c r="AE125" s="168">
        <f>IF(AE117=1,AE111,0)</f>
        <v>0</v>
      </c>
      <c r="AT125" s="513"/>
      <c r="AU125" s="513"/>
      <c r="AV125" s="513"/>
      <c r="AW125" s="514"/>
      <c r="AX125" s="513"/>
      <c r="AY125" s="513"/>
    </row>
    <row r="126" spans="1:51" s="115" customFormat="1" ht="12.75" hidden="1" customHeight="1">
      <c r="A126" s="115" t="s">
        <v>210</v>
      </c>
      <c r="B126" s="115">
        <f>IF(B118=1,B112,0)</f>
        <v>0</v>
      </c>
      <c r="D126" s="168">
        <f t="shared" si="11"/>
        <v>0</v>
      </c>
      <c r="E126" s="115">
        <f t="shared" si="11"/>
        <v>0</v>
      </c>
      <c r="G126" s="168">
        <f t="shared" si="12"/>
        <v>0</v>
      </c>
      <c r="H126" s="115">
        <f t="shared" si="12"/>
        <v>0</v>
      </c>
      <c r="J126" s="168">
        <f t="shared" si="13"/>
        <v>0</v>
      </c>
      <c r="K126" s="115">
        <f t="shared" si="13"/>
        <v>0</v>
      </c>
      <c r="M126" s="168">
        <f t="shared" si="14"/>
        <v>0</v>
      </c>
      <c r="N126" s="115">
        <f t="shared" si="14"/>
        <v>0</v>
      </c>
      <c r="P126" s="168">
        <f t="shared" si="15"/>
        <v>0</v>
      </c>
      <c r="Q126" s="115">
        <f t="shared" si="15"/>
        <v>0</v>
      </c>
      <c r="S126" s="168">
        <f t="shared" si="16"/>
        <v>0</v>
      </c>
      <c r="T126" s="115">
        <f t="shared" si="16"/>
        <v>0</v>
      </c>
      <c r="V126" s="168">
        <f t="shared" si="17"/>
        <v>0</v>
      </c>
      <c r="W126" s="115">
        <f t="shared" si="17"/>
        <v>0</v>
      </c>
      <c r="Y126" s="168">
        <f t="shared" si="18"/>
        <v>0</v>
      </c>
      <c r="Z126" s="115">
        <f t="shared" si="18"/>
        <v>0</v>
      </c>
      <c r="AB126" s="168">
        <f t="shared" si="19"/>
        <v>0</v>
      </c>
      <c r="AC126" s="115">
        <f t="shared" si="19"/>
        <v>0</v>
      </c>
      <c r="AE126" s="168">
        <f>IF(AE118=1,AE112,0)</f>
        <v>0</v>
      </c>
      <c r="AT126" s="513"/>
      <c r="AU126" s="513"/>
      <c r="AV126" s="513"/>
      <c r="AW126" s="514"/>
      <c r="AX126" s="513"/>
      <c r="AY126" s="513"/>
    </row>
    <row r="127" spans="1:51" s="115" customFormat="1" ht="12.75" hidden="1" customHeight="1">
      <c r="A127" s="115" t="s">
        <v>211</v>
      </c>
      <c r="B127" s="115">
        <f>IF(B119=1,B113,0)</f>
        <v>0</v>
      </c>
      <c r="D127" s="168">
        <f t="shared" si="11"/>
        <v>0</v>
      </c>
      <c r="E127" s="115">
        <f t="shared" si="11"/>
        <v>0</v>
      </c>
      <c r="G127" s="168">
        <f t="shared" si="12"/>
        <v>0</v>
      </c>
      <c r="H127" s="115">
        <f t="shared" si="12"/>
        <v>0</v>
      </c>
      <c r="J127" s="168">
        <f t="shared" si="13"/>
        <v>0</v>
      </c>
      <c r="K127" s="115">
        <f t="shared" si="13"/>
        <v>0</v>
      </c>
      <c r="M127" s="168">
        <f t="shared" si="14"/>
        <v>0</v>
      </c>
      <c r="N127" s="115">
        <f t="shared" si="14"/>
        <v>0</v>
      </c>
      <c r="P127" s="168">
        <f t="shared" si="15"/>
        <v>0</v>
      </c>
      <c r="Q127" s="115">
        <f t="shared" si="15"/>
        <v>0</v>
      </c>
      <c r="S127" s="168">
        <f t="shared" si="16"/>
        <v>0</v>
      </c>
      <c r="T127" s="115">
        <f t="shared" si="16"/>
        <v>0</v>
      </c>
      <c r="V127" s="168">
        <f t="shared" si="17"/>
        <v>0</v>
      </c>
      <c r="W127" s="115">
        <f t="shared" si="17"/>
        <v>0</v>
      </c>
      <c r="Y127" s="168">
        <f t="shared" si="18"/>
        <v>0</v>
      </c>
      <c r="Z127" s="115">
        <f t="shared" si="18"/>
        <v>0</v>
      </c>
      <c r="AB127" s="168">
        <f t="shared" si="19"/>
        <v>0</v>
      </c>
      <c r="AC127" s="115">
        <f t="shared" si="19"/>
        <v>0</v>
      </c>
      <c r="AE127" s="168">
        <f>IF(AE119=1,AE113,0)</f>
        <v>0</v>
      </c>
      <c r="AT127" s="513"/>
      <c r="AU127" s="513"/>
      <c r="AV127" s="513"/>
      <c r="AW127" s="514"/>
      <c r="AX127" s="513"/>
      <c r="AY127" s="513"/>
    </row>
    <row r="128" spans="1:51" s="115" customFormat="1" ht="12.75" hidden="1" customHeight="1">
      <c r="A128" s="115" t="s">
        <v>212</v>
      </c>
      <c r="B128" s="115">
        <f>IF(B120=1,B114,0)</f>
        <v>0</v>
      </c>
      <c r="D128" s="168">
        <f t="shared" si="11"/>
        <v>0</v>
      </c>
      <c r="E128" s="115">
        <f t="shared" si="11"/>
        <v>0</v>
      </c>
      <c r="G128" s="168">
        <f t="shared" si="12"/>
        <v>0</v>
      </c>
      <c r="H128" s="115">
        <f t="shared" si="12"/>
        <v>0</v>
      </c>
      <c r="J128" s="168">
        <f t="shared" si="13"/>
        <v>0</v>
      </c>
      <c r="K128" s="115">
        <f t="shared" si="13"/>
        <v>0</v>
      </c>
      <c r="M128" s="168">
        <f t="shared" si="14"/>
        <v>0</v>
      </c>
      <c r="N128" s="115">
        <f t="shared" si="14"/>
        <v>0</v>
      </c>
      <c r="P128" s="168">
        <f t="shared" si="15"/>
        <v>0</v>
      </c>
      <c r="Q128" s="115">
        <f t="shared" si="15"/>
        <v>0</v>
      </c>
      <c r="S128" s="168">
        <f t="shared" si="16"/>
        <v>0</v>
      </c>
      <c r="T128" s="115">
        <f t="shared" si="16"/>
        <v>0</v>
      </c>
      <c r="V128" s="168">
        <f t="shared" si="17"/>
        <v>0</v>
      </c>
      <c r="W128" s="115">
        <f t="shared" si="17"/>
        <v>0</v>
      </c>
      <c r="Y128" s="168">
        <f t="shared" si="18"/>
        <v>0</v>
      </c>
      <c r="Z128" s="115">
        <f t="shared" si="18"/>
        <v>0</v>
      </c>
      <c r="AB128" s="168">
        <f t="shared" si="19"/>
        <v>0</v>
      </c>
      <c r="AC128" s="115">
        <f t="shared" si="19"/>
        <v>0</v>
      </c>
      <c r="AE128" s="168">
        <f>IF(AE120=1,AE114,0)</f>
        <v>0</v>
      </c>
      <c r="AT128" s="513"/>
      <c r="AU128" s="513"/>
      <c r="AV128" s="513"/>
      <c r="AW128" s="514"/>
      <c r="AX128" s="513"/>
      <c r="AY128" s="513"/>
    </row>
    <row r="129" spans="1:51" s="115" customFormat="1" ht="38.25" hidden="1" customHeight="1">
      <c r="A129" s="167" t="s">
        <v>213</v>
      </c>
      <c r="B129" s="115">
        <f>SUM(B124:D128)</f>
        <v>47</v>
      </c>
      <c r="D129" s="168"/>
      <c r="E129" s="115">
        <f>SUM(E124:G128)</f>
        <v>36</v>
      </c>
      <c r="G129" s="168"/>
      <c r="H129" s="115">
        <f>SUM(H124:J128)</f>
        <v>47</v>
      </c>
      <c r="J129" s="168"/>
      <c r="K129" s="115">
        <f>SUM(K124:M128)</f>
        <v>0</v>
      </c>
      <c r="M129" s="168"/>
      <c r="N129" s="115">
        <f>SUM(N124:P128)</f>
        <v>0</v>
      </c>
      <c r="P129" s="168"/>
      <c r="Q129" s="115">
        <f>SUM(Q124:S128)</f>
        <v>0</v>
      </c>
      <c r="S129" s="168"/>
      <c r="T129" s="115">
        <f>SUM(T124:V128)</f>
        <v>0</v>
      </c>
      <c r="V129" s="168"/>
      <c r="W129" s="115">
        <f>SUM(W124:Y128)</f>
        <v>0</v>
      </c>
      <c r="Y129" s="168"/>
      <c r="Z129" s="115">
        <f>SUM(Z124:AB128)</f>
        <v>0</v>
      </c>
      <c r="AB129" s="168"/>
      <c r="AC129" s="115">
        <f>SUM(AC124:AE128)</f>
        <v>0</v>
      </c>
      <c r="AE129" s="168"/>
      <c r="AT129" s="513"/>
      <c r="AU129" s="513"/>
      <c r="AV129" s="513"/>
      <c r="AW129" s="514"/>
      <c r="AX129" s="513"/>
      <c r="AY129" s="513"/>
    </row>
    <row r="130" spans="1:51" s="115" customFormat="1" ht="38.25" hidden="1" customHeight="1">
      <c r="A130" s="115" t="s">
        <v>214</v>
      </c>
      <c r="D130" s="168"/>
      <c r="G130" s="168"/>
      <c r="J130" s="168"/>
      <c r="M130" s="168"/>
      <c r="P130" s="168"/>
      <c r="S130" s="168"/>
      <c r="V130" s="168"/>
      <c r="Y130" s="168"/>
      <c r="AB130" s="168"/>
      <c r="AE130" s="168"/>
      <c r="AF130" s="167" t="s">
        <v>215</v>
      </c>
      <c r="AG130" s="115" t="s">
        <v>216</v>
      </c>
      <c r="AT130" s="513"/>
      <c r="AU130" s="513"/>
      <c r="AV130" s="513"/>
      <c r="AW130" s="514"/>
      <c r="AX130" s="513"/>
      <c r="AY130" s="513"/>
    </row>
    <row r="131" spans="1:51" s="115" customFormat="1" ht="12.75" hidden="1" customHeight="1">
      <c r="A131" s="115" t="s">
        <v>38</v>
      </c>
      <c r="B131" s="115">
        <f>IF(B109=1,IF(B122=1,1,0),0)</f>
        <v>1</v>
      </c>
      <c r="D131" s="168">
        <f>IF(D109=1,IF(D122=1,1,0),0)</f>
        <v>0</v>
      </c>
      <c r="E131" s="115">
        <f>IF(E109=1,IF(E122=1,1,0),0)</f>
        <v>0</v>
      </c>
      <c r="G131" s="168">
        <f>IF(G109=1,IF(G122=1,1,0),0)</f>
        <v>0</v>
      </c>
      <c r="H131" s="115">
        <f>IF(H109=1,IF(H122=1,1,0),0)</f>
        <v>1</v>
      </c>
      <c r="J131" s="168">
        <f>IF(J109=1,IF(J122=1,1,0),0)</f>
        <v>0</v>
      </c>
      <c r="K131" s="115">
        <f>IF(K109=1,IF(K122=1,1,0),0)</f>
        <v>0</v>
      </c>
      <c r="M131" s="168">
        <f>IF(M109=1,IF(M122=1,1,0),0)</f>
        <v>0</v>
      </c>
      <c r="N131" s="115">
        <f>IF(N109=1,IF(N122=1,1,0),0)</f>
        <v>0</v>
      </c>
      <c r="P131" s="168">
        <f>IF(P109=1,IF(P122=1,1,0),0)</f>
        <v>0</v>
      </c>
      <c r="Q131" s="115">
        <f>IF(Q109=1,IF(Q122=1,1,0),0)</f>
        <v>0</v>
      </c>
      <c r="S131" s="168">
        <f>IF(S109=1,IF(S122=1,1,0),0)</f>
        <v>0</v>
      </c>
      <c r="T131" s="115">
        <f>IF(T109=1,IF(T122=1,1,0),0)</f>
        <v>0</v>
      </c>
      <c r="V131" s="168">
        <f>IF(V109=1,IF(V122=1,1,0),0)</f>
        <v>0</v>
      </c>
      <c r="W131" s="115">
        <f>IF(W109=1,IF(W122=1,1,0),0)</f>
        <v>0</v>
      </c>
      <c r="Y131" s="168">
        <f>IF(Y109=1,IF(Y122=1,1,0),0)</f>
        <v>0</v>
      </c>
      <c r="Z131" s="115">
        <f>IF(Z109=1,IF(Z122=1,1,0),0)</f>
        <v>0</v>
      </c>
      <c r="AB131" s="168">
        <f>IF(AB109=1,IF(AB122=1,1,0),0)</f>
        <v>0</v>
      </c>
      <c r="AC131" s="115">
        <f>IF(AC109=1,IF(AC122=1,1,0),0)</f>
        <v>0</v>
      </c>
      <c r="AE131" s="168">
        <f>IF(AE109=1,IF(AE122=1,1,0),0)</f>
        <v>0</v>
      </c>
      <c r="AF131" s="115">
        <f>SUM(B131:AE131)</f>
        <v>2</v>
      </c>
      <c r="AG131" s="115">
        <f>AF137-AF131</f>
        <v>0</v>
      </c>
      <c r="AT131" s="513"/>
      <c r="AU131" s="513"/>
      <c r="AV131" s="513"/>
      <c r="AW131" s="514"/>
      <c r="AX131" s="513"/>
      <c r="AY131" s="513"/>
    </row>
    <row r="132" spans="1:51" s="115" customFormat="1" ht="12.75" hidden="1" customHeight="1">
      <c r="A132" s="115" t="s">
        <v>39</v>
      </c>
      <c r="B132" s="115">
        <f>IF(B109=2,IF(B122=1,1,0),0)</f>
        <v>0</v>
      </c>
      <c r="D132" s="168">
        <f>IF(D109=2,IF(D122=1,1,0),0)</f>
        <v>0</v>
      </c>
      <c r="E132" s="115">
        <f>IF(E109=2,IF(E122=1,1,0),0)</f>
        <v>0</v>
      </c>
      <c r="G132" s="168">
        <f>IF(G109=2,IF(G122=1,1,0),0)</f>
        <v>0</v>
      </c>
      <c r="H132" s="115">
        <f>IF(H109=2,IF(H122=1,1,0),0)</f>
        <v>0</v>
      </c>
      <c r="J132" s="168">
        <f>IF(J109=2,IF(J122=1,1,0),0)</f>
        <v>0</v>
      </c>
      <c r="K132" s="115">
        <f>IF(K109=2,IF(K122=1,1,0),0)</f>
        <v>0</v>
      </c>
      <c r="M132" s="168">
        <f>IF(M109=2,IF(M122=1,1,0),0)</f>
        <v>0</v>
      </c>
      <c r="N132" s="115">
        <f>IF(N109=2,IF(N122=1,1,0),0)</f>
        <v>0</v>
      </c>
      <c r="P132" s="168">
        <f>IF(P109=2,IF(P122=1,1,0),0)</f>
        <v>0</v>
      </c>
      <c r="Q132" s="115">
        <f>IF(Q109=2,IF(Q122=1,1,0),0)</f>
        <v>0</v>
      </c>
      <c r="S132" s="168">
        <f>IF(S109=2,IF(S122=1,1,0),0)</f>
        <v>0</v>
      </c>
      <c r="T132" s="115">
        <f>IF(T109=2,IF(T122=1,1,0),0)</f>
        <v>0</v>
      </c>
      <c r="V132" s="168">
        <f>IF(V109=2,IF(V122=1,1,0),0)</f>
        <v>0</v>
      </c>
      <c r="W132" s="115">
        <f>IF(W109=2,IF(W122=1,1,0),0)</f>
        <v>0</v>
      </c>
      <c r="Y132" s="168">
        <f>IF(Y109=2,IF(Y122=1,1,0),0)</f>
        <v>0</v>
      </c>
      <c r="Z132" s="115">
        <f>IF(Z109=2,IF(Z122=1,1,0),0)</f>
        <v>0</v>
      </c>
      <c r="AB132" s="168">
        <f>IF(AB109=2,IF(AB122=1,1,0),0)</f>
        <v>0</v>
      </c>
      <c r="AC132" s="115">
        <f>IF(AC109=2,IF(AC122=1,1,0),0)</f>
        <v>0</v>
      </c>
      <c r="AE132" s="168">
        <f>IF(AE109=2,IF(AE122=1,1,0),0)</f>
        <v>0</v>
      </c>
      <c r="AF132" s="115">
        <f>SUM(B132:AE132)</f>
        <v>0</v>
      </c>
      <c r="AG132" s="115">
        <f>AF138-AF132</f>
        <v>1</v>
      </c>
      <c r="AT132" s="513"/>
      <c r="AU132" s="513"/>
      <c r="AV132" s="513"/>
      <c r="AW132" s="514"/>
      <c r="AX132" s="513"/>
      <c r="AY132" s="513"/>
    </row>
    <row r="133" spans="1:51" s="115" customFormat="1" ht="12.75" hidden="1" customHeight="1">
      <c r="A133" s="115" t="s">
        <v>40</v>
      </c>
      <c r="B133" s="115">
        <f>IF(B109=3,IF(B122=1,1,0),0)</f>
        <v>0</v>
      </c>
      <c r="D133" s="168">
        <f>IF(D109=3,IF(D122=1,1,0),0)</f>
        <v>0</v>
      </c>
      <c r="E133" s="115">
        <f>IF(E109=3,IF(E122=1,1,0),0)</f>
        <v>0</v>
      </c>
      <c r="G133" s="168">
        <f>IF(G109=3,IF(G122=1,1,0),0)</f>
        <v>0</v>
      </c>
      <c r="H133" s="115">
        <f>IF(H109=3,IF(H122=1,1,0),0)</f>
        <v>0</v>
      </c>
      <c r="J133" s="168">
        <f>IF(J109=3,IF(J122=1,1,0),0)</f>
        <v>0</v>
      </c>
      <c r="K133" s="115">
        <f>IF(K109=3,IF(K122=1,1,0),0)</f>
        <v>0</v>
      </c>
      <c r="M133" s="168">
        <f>IF(M109=3,IF(M122=1,1,0),0)</f>
        <v>0</v>
      </c>
      <c r="N133" s="115">
        <f>IF(N109=3,IF(N122=1,1,0),0)</f>
        <v>0</v>
      </c>
      <c r="P133" s="168">
        <f>IF(P109=3,IF(P122=1,1,0),0)</f>
        <v>0</v>
      </c>
      <c r="Q133" s="115">
        <f>IF(Q109=3,IF(Q122=1,1,0),0)</f>
        <v>0</v>
      </c>
      <c r="S133" s="168">
        <f>IF(S109=3,IF(S122=1,1,0),0)</f>
        <v>0</v>
      </c>
      <c r="T133" s="115">
        <f>IF(T109=3,IF(T122=1,1,0),0)</f>
        <v>0</v>
      </c>
      <c r="V133" s="168">
        <f>IF(V109=3,IF(V122=1,1,0),0)</f>
        <v>0</v>
      </c>
      <c r="W133" s="115">
        <f>IF(W109=3,IF(W122=1,1,0),0)</f>
        <v>0</v>
      </c>
      <c r="Y133" s="168">
        <f>IF(Y109=3,IF(Y122=1,1,0),0)</f>
        <v>0</v>
      </c>
      <c r="Z133" s="115">
        <f>IF(Z109=3,IF(Z122=1,1,0),0)</f>
        <v>0</v>
      </c>
      <c r="AB133" s="168">
        <f>IF(AB109=3,IF(AB122=1,1,0),0)</f>
        <v>0</v>
      </c>
      <c r="AC133" s="115">
        <f>IF(AC109=3,IF(AC122=1,1,0),0)</f>
        <v>0</v>
      </c>
      <c r="AE133" s="168">
        <f>IF(AE109=3,IF(AE122=1,1,0),0)</f>
        <v>0</v>
      </c>
      <c r="AF133" s="115">
        <f>SUM(B133:AE133)</f>
        <v>0</v>
      </c>
      <c r="AG133" s="115">
        <f>AF139-AF133</f>
        <v>1</v>
      </c>
      <c r="AT133" s="513"/>
      <c r="AU133" s="513"/>
      <c r="AV133" s="513"/>
      <c r="AW133" s="514"/>
      <c r="AX133" s="513"/>
      <c r="AY133" s="513"/>
    </row>
    <row r="134" spans="1:51" s="115" customFormat="1" ht="12.75" hidden="1" customHeight="1">
      <c r="A134" s="115" t="s">
        <v>41</v>
      </c>
      <c r="B134" s="115">
        <f>IF(B109=4,IF(B122=1,1,0),0)</f>
        <v>0</v>
      </c>
      <c r="D134" s="168">
        <f>IF(D109=4,IF(D122=1,1,0),0)</f>
        <v>0</v>
      </c>
      <c r="E134" s="115">
        <f>IF(E109=4,IF(E122=1,1,0),0)</f>
        <v>0</v>
      </c>
      <c r="G134" s="168">
        <f>IF(G109=4,IF(G122=1,1,0),0)</f>
        <v>0</v>
      </c>
      <c r="H134" s="115">
        <f>IF(H109=4,IF(H122=1,1,0),0)</f>
        <v>0</v>
      </c>
      <c r="J134" s="168">
        <f>IF(J109=4,IF(J122=1,1,0),0)</f>
        <v>0</v>
      </c>
      <c r="K134" s="115">
        <f>IF(K109=4,IF(K122=1,1,0),0)</f>
        <v>0</v>
      </c>
      <c r="M134" s="168">
        <f>IF(M109=4,IF(M122=1,1,0),0)</f>
        <v>0</v>
      </c>
      <c r="N134" s="115">
        <f>IF(N109=4,IF(N122=1,1,0),0)</f>
        <v>0</v>
      </c>
      <c r="P134" s="168">
        <f>IF(P109=4,IF(P122=1,1,0),0)</f>
        <v>0</v>
      </c>
      <c r="Q134" s="115">
        <f>IF(Q109=4,IF(Q122=1,1,0),0)</f>
        <v>0</v>
      </c>
      <c r="S134" s="168">
        <f>IF(S109=4,IF(S122=1,1,0),0)</f>
        <v>0</v>
      </c>
      <c r="T134" s="115">
        <f>IF(T109=4,IF(T122=1,1,0),0)</f>
        <v>0</v>
      </c>
      <c r="V134" s="168">
        <f>IF(V109=4,IF(V122=1,1,0),0)</f>
        <v>0</v>
      </c>
      <c r="W134" s="115">
        <f>IF(W109=4,IF(W122=1,1,0),0)</f>
        <v>0</v>
      </c>
      <c r="Y134" s="168">
        <f>IF(Y109=4,IF(Y122=1,1,0),0)</f>
        <v>0</v>
      </c>
      <c r="Z134" s="115">
        <f>IF(Z109=4,IF(Z122=1,1,0),0)</f>
        <v>0</v>
      </c>
      <c r="AB134" s="168">
        <f>IF(AB109=4,IF(AB122=1,1,0),0)</f>
        <v>0</v>
      </c>
      <c r="AC134" s="115">
        <f>IF(AC109=4,IF(AC122=1,1,0),0)</f>
        <v>0</v>
      </c>
      <c r="AE134" s="168">
        <f>IF(AE109=4,IF(AE122=1,1,0),0)</f>
        <v>0</v>
      </c>
      <c r="AF134" s="115">
        <f>SUM(B134:AE134)</f>
        <v>0</v>
      </c>
      <c r="AG134" s="115">
        <f>AF140-AF134</f>
        <v>0</v>
      </c>
      <c r="AT134" s="513"/>
      <c r="AU134" s="513"/>
      <c r="AV134" s="513"/>
      <c r="AW134" s="514"/>
      <c r="AX134" s="513"/>
      <c r="AY134" s="513"/>
    </row>
    <row r="135" spans="1:51" s="115" customFormat="1" ht="12.75" hidden="1" customHeight="1">
      <c r="A135" s="115" t="s">
        <v>42</v>
      </c>
      <c r="B135" s="115">
        <f>IF(B109=5,IF(B122=1,1,0),0)</f>
        <v>0</v>
      </c>
      <c r="D135" s="168">
        <f>IF(D109=5,IF(D122=1,1,0),0)</f>
        <v>0</v>
      </c>
      <c r="E135" s="115">
        <f>IF(E109=5,IF(E122=1,1,0),0)</f>
        <v>0</v>
      </c>
      <c r="G135" s="168">
        <f>IF(G109=5,IF(G122=1,1,0),0)</f>
        <v>0</v>
      </c>
      <c r="H135" s="115">
        <f>IF(H109=5,IF(H122=1,1,0),0)</f>
        <v>0</v>
      </c>
      <c r="J135" s="168">
        <f>IF(J109=5,IF(J122=1,1,0),0)</f>
        <v>0</v>
      </c>
      <c r="K135" s="115">
        <f>IF(K109=5,IF(K122=1,1,0),0)</f>
        <v>0</v>
      </c>
      <c r="M135" s="168">
        <f>IF(M109=5,IF(M122=1,1,0),0)</f>
        <v>0</v>
      </c>
      <c r="N135" s="115">
        <f>IF(N109=5,IF(N122=1,1,0),0)</f>
        <v>0</v>
      </c>
      <c r="P135" s="168">
        <f>IF(P109=5,IF(P122=1,1,0),0)</f>
        <v>0</v>
      </c>
      <c r="Q135" s="115">
        <f>IF(Q109=5,IF(Q122=1,1,0),0)</f>
        <v>0</v>
      </c>
      <c r="S135" s="168">
        <f>IF(S109=5,IF(S122=1,1,0),0)</f>
        <v>0</v>
      </c>
      <c r="T135" s="115">
        <f>IF(T109=5,IF(T122=1,1,0),0)</f>
        <v>0</v>
      </c>
      <c r="V135" s="168">
        <f>IF(V109=5,IF(V122=1,1,0),0)</f>
        <v>0</v>
      </c>
      <c r="W135" s="115">
        <f>IF(W109=5,IF(W122=1,1,0),0)</f>
        <v>0</v>
      </c>
      <c r="Y135" s="168">
        <f>IF(Y109=5,IF(Y122=1,1,0),0)</f>
        <v>0</v>
      </c>
      <c r="Z135" s="115">
        <f>IF(Z109=5,IF(Z122=1,1,0),0)</f>
        <v>0</v>
      </c>
      <c r="AB135" s="168">
        <f>IF(AB109=5,IF(AB122=1,1,0),0)</f>
        <v>0</v>
      </c>
      <c r="AC135" s="115">
        <f>IF(AC109=5,IF(AC122=1,1,0),0)</f>
        <v>0</v>
      </c>
      <c r="AE135" s="168">
        <f>IF(AE109=5,IF(AE122=1,1,0),0)</f>
        <v>0</v>
      </c>
      <c r="AF135" s="115">
        <f>SUM(B135:AE135)</f>
        <v>0</v>
      </c>
      <c r="AG135" s="115">
        <f>AF141-AF135</f>
        <v>0</v>
      </c>
      <c r="AT135" s="513"/>
      <c r="AU135" s="513"/>
      <c r="AV135" s="513"/>
      <c r="AW135" s="514"/>
      <c r="AX135" s="513"/>
      <c r="AY135" s="513"/>
    </row>
    <row r="136" spans="1:51" s="115" customFormat="1" ht="38.25" hidden="1" customHeight="1">
      <c r="A136" s="167"/>
      <c r="D136" s="168"/>
      <c r="G136" s="168"/>
      <c r="J136" s="168"/>
      <c r="M136" s="168"/>
      <c r="P136" s="168"/>
      <c r="S136" s="168"/>
      <c r="V136" s="168"/>
      <c r="Y136" s="168"/>
      <c r="AB136" s="168"/>
      <c r="AE136" s="168"/>
      <c r="AF136" s="167" t="s">
        <v>217</v>
      </c>
      <c r="AT136" s="513"/>
      <c r="AU136" s="513"/>
      <c r="AV136" s="513"/>
      <c r="AW136" s="514"/>
      <c r="AX136" s="513"/>
      <c r="AY136" s="513"/>
    </row>
    <row r="137" spans="1:51" s="115" customFormat="1" ht="12.75" hidden="1" customHeight="1">
      <c r="A137" s="115" t="s">
        <v>43</v>
      </c>
      <c r="B137" s="115">
        <f>IF(B109=1,IF(C122=1,1,0),0)</f>
        <v>1</v>
      </c>
      <c r="D137" s="168">
        <f>IF(D109=1,IF(C122=1,1,0),0)</f>
        <v>0</v>
      </c>
      <c r="E137" s="115">
        <f>IF(E109=1,IF(F122=1,1,0),0)</f>
        <v>0</v>
      </c>
      <c r="G137" s="168">
        <f>IF(G109=1,IF(F122=1,1,0),0)</f>
        <v>0</v>
      </c>
      <c r="H137" s="115">
        <f>IF(H109=1,IF(I122=1,1,0),0)</f>
        <v>1</v>
      </c>
      <c r="J137" s="168">
        <f>IF(J109=1,IF(I122=1,1,0),0)</f>
        <v>0</v>
      </c>
      <c r="K137" s="115">
        <f>IF(K109=1,IF(L122=1,1,0),0)</f>
        <v>0</v>
      </c>
      <c r="M137" s="168">
        <f>IF(M109=1,IF(L122=1,1,0),0)</f>
        <v>0</v>
      </c>
      <c r="N137" s="115">
        <f>IF(N109=1,IF(O122=1,1,0),0)</f>
        <v>0</v>
      </c>
      <c r="P137" s="168">
        <f>IF(P109=1,IF(O122=1,1,0),0)</f>
        <v>0</v>
      </c>
      <c r="Q137" s="115">
        <f>IF(Q109=1,IF(R122=1,1,0),0)</f>
        <v>0</v>
      </c>
      <c r="S137" s="168">
        <f>IF(S109=1,IF(R122=1,1,0),0)</f>
        <v>0</v>
      </c>
      <c r="T137" s="115">
        <f>IF(T109=1,IF(U122=1,1,0),0)</f>
        <v>0</v>
      </c>
      <c r="V137" s="168">
        <f>IF(V109=1,IF(U122=1,1,0),0)</f>
        <v>0</v>
      </c>
      <c r="W137" s="115">
        <f>IF(W109=1,IF(X122=1,1,0),0)</f>
        <v>0</v>
      </c>
      <c r="Y137" s="168">
        <f>IF(Y109=1,IF(X122=1,1,0),0)</f>
        <v>0</v>
      </c>
      <c r="Z137" s="115">
        <f>IF(Z109=1,IF(AA122=1,1,0),0)</f>
        <v>0</v>
      </c>
      <c r="AB137" s="168">
        <f>IF(AB109=1,IF(AA122=1,1,0),0)</f>
        <v>0</v>
      </c>
      <c r="AC137" s="115">
        <f>IF(AC109=1,IF(AD122=1,1,0),0)</f>
        <v>0</v>
      </c>
      <c r="AE137" s="168">
        <f>IF(AE109=1,IF(AD122=1,1,0),0)</f>
        <v>0</v>
      </c>
      <c r="AF137" s="115">
        <f>SUM(B137:AE137)</f>
        <v>2</v>
      </c>
      <c r="AT137" s="513"/>
      <c r="AU137" s="513"/>
      <c r="AV137" s="513"/>
      <c r="AW137" s="514"/>
      <c r="AX137" s="513"/>
      <c r="AY137" s="513"/>
    </row>
    <row r="138" spans="1:51" s="115" customFormat="1" ht="12.75" hidden="1" customHeight="1">
      <c r="A138" s="115" t="s">
        <v>44</v>
      </c>
      <c r="B138" s="115">
        <f>IF(B109=2,IF(C122=1,1,0),0)</f>
        <v>0</v>
      </c>
      <c r="D138" s="168">
        <f>IF(D109=2,IF(C122=1,1,0),0)</f>
        <v>1</v>
      </c>
      <c r="E138" s="115">
        <f>IF(E109=2,IF(F122=1,1,0),0)</f>
        <v>0</v>
      </c>
      <c r="G138" s="168">
        <f>IF(G109=2,IF(F122=1,1,0),0)</f>
        <v>0</v>
      </c>
      <c r="H138" s="115">
        <f>IF(H109=2,IF(I122=1,1,0),0)</f>
        <v>0</v>
      </c>
      <c r="J138" s="168">
        <f>IF(J109=2,IF(I122=1,1,0),0)</f>
        <v>0</v>
      </c>
      <c r="K138" s="115">
        <f>IF(K109=2,IF(L122=1,1,0),0)</f>
        <v>0</v>
      </c>
      <c r="M138" s="168">
        <f>IF(M109=2,IF(L122=1,1,0),0)</f>
        <v>0</v>
      </c>
      <c r="N138" s="115">
        <f>IF(N109=2,IF(O122=1,1,0),0)</f>
        <v>0</v>
      </c>
      <c r="P138" s="168">
        <f>IF(P109=2,IF(O122=1,1,0),0)</f>
        <v>0</v>
      </c>
      <c r="Q138" s="115">
        <f>IF(Q109=2,IF(R122=1,1,0),0)</f>
        <v>0</v>
      </c>
      <c r="S138" s="168">
        <f>IF(S109=2,IF(R122=1,1,0),0)</f>
        <v>0</v>
      </c>
      <c r="T138" s="115">
        <f>IF(T109=2,IF(U122=1,1,0),0)</f>
        <v>0</v>
      </c>
      <c r="V138" s="168">
        <f>IF(V109=2,IF(U122=1,1,0),0)</f>
        <v>0</v>
      </c>
      <c r="W138" s="115">
        <f>IF(W109=2,IF(X122=1,1,0),0)</f>
        <v>0</v>
      </c>
      <c r="Y138" s="168">
        <f>IF(Y109=2,IF(X122=1,1,0),0)</f>
        <v>0</v>
      </c>
      <c r="Z138" s="115">
        <f>IF(Z109=2,IF(AA122=1,1,0),0)</f>
        <v>0</v>
      </c>
      <c r="AB138" s="168">
        <f>IF(AB109=2,IF(AA122=1,1,0),0)</f>
        <v>0</v>
      </c>
      <c r="AC138" s="115">
        <f>IF(AC109=2,IF(AD122=1,1,0),0)</f>
        <v>0</v>
      </c>
      <c r="AE138" s="168">
        <f>IF(AE109=2,IF(AD122=1,1,0),0)</f>
        <v>0</v>
      </c>
      <c r="AF138" s="115">
        <f>SUM(B138:AE138)</f>
        <v>1</v>
      </c>
      <c r="AT138" s="513"/>
      <c r="AU138" s="513"/>
      <c r="AV138" s="513"/>
      <c r="AW138" s="514"/>
      <c r="AX138" s="513"/>
      <c r="AY138" s="513"/>
    </row>
    <row r="139" spans="1:51" s="115" customFormat="1" ht="12.75" hidden="1" customHeight="1">
      <c r="A139" s="115" t="s">
        <v>45</v>
      </c>
      <c r="B139" s="115">
        <f>IF(B109=3,IF(C122=1,1,0),0)</f>
        <v>0</v>
      </c>
      <c r="D139" s="168">
        <f>IF(D109=3,IF(C122=1,1,0),0)</f>
        <v>0</v>
      </c>
      <c r="E139" s="115">
        <f>IF(E109=3,IF(F122=1,1,0),0)</f>
        <v>0</v>
      </c>
      <c r="G139" s="168">
        <f>IF(G109=3,IF(F122=1,1,0),0)</f>
        <v>0</v>
      </c>
      <c r="H139" s="115">
        <f>IF(H109=3,IF(I122=1,1,0),0)</f>
        <v>0</v>
      </c>
      <c r="J139" s="168">
        <f>IF(J109=3,IF(I122=1,1,0),0)</f>
        <v>1</v>
      </c>
      <c r="K139" s="115">
        <f>IF(K109=3,IF(L122=1,1,0),0)</f>
        <v>0</v>
      </c>
      <c r="M139" s="168">
        <f>IF(M109=3,IF(L122=1,1,0),0)</f>
        <v>0</v>
      </c>
      <c r="N139" s="115">
        <f>IF(N109=3,IF(O122=1,1,0),0)</f>
        <v>0</v>
      </c>
      <c r="P139" s="168">
        <f>IF(P109=3,IF(O122=1,1,0),0)</f>
        <v>0</v>
      </c>
      <c r="Q139" s="115">
        <f>IF(Q109=3,IF(R122=1,1,0),0)</f>
        <v>0</v>
      </c>
      <c r="S139" s="168">
        <f>IF(S109=3,IF(R122=1,1,0),0)</f>
        <v>0</v>
      </c>
      <c r="T139" s="115">
        <f>IF(T109=3,IF(U122=1,1,0),0)</f>
        <v>0</v>
      </c>
      <c r="V139" s="168">
        <f>IF(V109=3,IF(U122=1,1,0),0)</f>
        <v>0</v>
      </c>
      <c r="W139" s="115">
        <f>IF(W109=3,IF(X122=1,1,0),0)</f>
        <v>0</v>
      </c>
      <c r="Y139" s="168">
        <f>IF(Y109=3,IF(X122=1,1,0),0)</f>
        <v>0</v>
      </c>
      <c r="Z139" s="115">
        <f>IF(Z109=3,IF(AA122=1,1,0),0)</f>
        <v>0</v>
      </c>
      <c r="AB139" s="168">
        <f>IF(AB109=3,IF(AA122=1,1,0),0)</f>
        <v>0</v>
      </c>
      <c r="AC139" s="115">
        <f>IF(AC109=3,IF(AD122=1,1,0),0)</f>
        <v>0</v>
      </c>
      <c r="AE139" s="168">
        <f>IF(AE109=3,IF(AD122=1,1,0),0)</f>
        <v>0</v>
      </c>
      <c r="AF139" s="115">
        <f>SUM(B139:AE139)</f>
        <v>1</v>
      </c>
      <c r="AT139" s="513"/>
      <c r="AU139" s="513"/>
      <c r="AV139" s="513"/>
      <c r="AW139" s="514"/>
      <c r="AX139" s="513"/>
      <c r="AY139" s="513"/>
    </row>
    <row r="140" spans="1:51" s="115" customFormat="1" ht="12.75" hidden="1" customHeight="1">
      <c r="A140" s="115" t="s">
        <v>46</v>
      </c>
      <c r="B140" s="115">
        <f>IF(B109=4,IF(C122=1,1,0),0)</f>
        <v>0</v>
      </c>
      <c r="D140" s="168">
        <f>IF(D109=4,IF(C122=1,1,0),0)</f>
        <v>0</v>
      </c>
      <c r="E140" s="115">
        <f>IF(E109=4,IF(F122=1,1,0),0)</f>
        <v>0</v>
      </c>
      <c r="G140" s="168">
        <f>IF(G109=4,IF(F122=1,1,0),0)</f>
        <v>0</v>
      </c>
      <c r="H140" s="115">
        <f>IF(H109=4,IF(I122=1,1,0),0)</f>
        <v>0</v>
      </c>
      <c r="J140" s="168">
        <f>IF(J109=4,IF(I122=1,1,0),0)</f>
        <v>0</v>
      </c>
      <c r="K140" s="115">
        <f>IF(K109=4,IF(L122=1,1,0),0)</f>
        <v>0</v>
      </c>
      <c r="M140" s="168">
        <f>IF(M109=4,IF(L122=1,1,0),0)</f>
        <v>0</v>
      </c>
      <c r="N140" s="115">
        <f>IF(N109=4,IF(O122=1,1,0),0)</f>
        <v>0</v>
      </c>
      <c r="P140" s="168">
        <f>IF(P109=4,IF(O122=1,1,0),0)</f>
        <v>0</v>
      </c>
      <c r="Q140" s="115">
        <f>IF(Q109=4,IF(R122=1,1,0),0)</f>
        <v>0</v>
      </c>
      <c r="S140" s="168">
        <f>IF(S109=4,IF(R122=1,1,0),0)</f>
        <v>0</v>
      </c>
      <c r="T140" s="115">
        <f>IF(T109=4,IF(U122=1,1,0),0)</f>
        <v>0</v>
      </c>
      <c r="V140" s="168">
        <f>IF(V109=4,IF(U122=1,1,0),0)</f>
        <v>0</v>
      </c>
      <c r="W140" s="115">
        <f>IF(W109=4,IF(X122=1,1,0),0)</f>
        <v>0</v>
      </c>
      <c r="Y140" s="168">
        <f>IF(Y109=4,IF(X122=1,1,0),0)</f>
        <v>0</v>
      </c>
      <c r="Z140" s="115">
        <f>IF(Z109=4,IF(AA122=1,1,0),0)</f>
        <v>0</v>
      </c>
      <c r="AB140" s="168">
        <f>IF(AB109=4,IF(AA122=1,1,0),0)</f>
        <v>0</v>
      </c>
      <c r="AC140" s="115">
        <f>IF(AC109=4,IF(AD122=1,1,0),0)</f>
        <v>0</v>
      </c>
      <c r="AE140" s="168">
        <f>IF(AE109=4,IF(AD122=1,1,0),0)</f>
        <v>0</v>
      </c>
      <c r="AF140" s="115">
        <f>SUM(B140:AE140)</f>
        <v>0</v>
      </c>
      <c r="AT140" s="513"/>
      <c r="AU140" s="513"/>
      <c r="AV140" s="513"/>
      <c r="AW140" s="514"/>
      <c r="AX140" s="513"/>
      <c r="AY140" s="513"/>
    </row>
    <row r="141" spans="1:51" s="115" customFormat="1" ht="12.75" hidden="1" customHeight="1">
      <c r="A141" s="115" t="s">
        <v>47</v>
      </c>
      <c r="B141" s="115">
        <f>IF(B109=5,IF(C122=1,1,0),0)</f>
        <v>0</v>
      </c>
      <c r="D141" s="168">
        <f>IF(D109=5,IF(C122=1,1,0),0)</f>
        <v>0</v>
      </c>
      <c r="E141" s="115">
        <f>IF(E109=5,IF(F122=1,1,0),0)</f>
        <v>0</v>
      </c>
      <c r="G141" s="168">
        <f>IF(G109=5,IF(F122=1,1,0),0)</f>
        <v>0</v>
      </c>
      <c r="H141" s="115">
        <f>IF(H109=5,IF(I122=1,1,0),0)</f>
        <v>0</v>
      </c>
      <c r="J141" s="168">
        <f>IF(J109=5,IF(I122=1,1,0),0)</f>
        <v>0</v>
      </c>
      <c r="K141" s="115">
        <f>IF(K109=5,IF(L122=1,1,0),0)</f>
        <v>0</v>
      </c>
      <c r="M141" s="168">
        <f>IF(M109=5,IF(L122=1,1,0),0)</f>
        <v>0</v>
      </c>
      <c r="N141" s="115">
        <f>IF(N109=5,IF(O122=1,1,0),0)</f>
        <v>0</v>
      </c>
      <c r="P141" s="168">
        <f>IF(P109=5,IF(O122=1,1,0),0)</f>
        <v>0</v>
      </c>
      <c r="Q141" s="115">
        <f>IF(Q109=5,IF(R122=1,1,0),0)</f>
        <v>0</v>
      </c>
      <c r="S141" s="168">
        <f>IF(S109=5,IF(R122=1,1,0),0)</f>
        <v>0</v>
      </c>
      <c r="T141" s="115">
        <f>IF(T109=5,IF(U122=1,1,0),0)</f>
        <v>0</v>
      </c>
      <c r="V141" s="168">
        <f>IF(V109=5,IF(U122=1,1,0),0)</f>
        <v>0</v>
      </c>
      <c r="W141" s="115">
        <f>IF(W109=5,IF(X122=1,1,0),0)</f>
        <v>0</v>
      </c>
      <c r="Y141" s="168">
        <f>IF(Y109=5,IF(X122=1,1,0),0)</f>
        <v>0</v>
      </c>
      <c r="Z141" s="115">
        <f>IF(Z109=5,IF(AA122=1,1,0),0)</f>
        <v>0</v>
      </c>
      <c r="AB141" s="168">
        <f>IF(AB109=5,IF(AA122=1,1,0),0)</f>
        <v>0</v>
      </c>
      <c r="AC141" s="115">
        <f>IF(AC109=5,IF(AD122=1,1,0),0)</f>
        <v>0</v>
      </c>
      <c r="AE141" s="168">
        <f>IF(AE109=5,IF(AD122=1,1,0),0)</f>
        <v>0</v>
      </c>
      <c r="AF141" s="115">
        <f>SUM(B141:AE141)</f>
        <v>0</v>
      </c>
      <c r="AT141" s="513"/>
      <c r="AU141" s="513"/>
      <c r="AV141" s="513"/>
      <c r="AW141" s="514"/>
      <c r="AX141" s="513"/>
      <c r="AY141" s="513"/>
    </row>
    <row r="142" spans="1:51" s="115" customFormat="1" ht="38.25" hidden="1" customHeight="1">
      <c r="A142" s="167"/>
      <c r="D142" s="168"/>
      <c r="G142" s="168"/>
      <c r="J142" s="168"/>
      <c r="M142" s="168"/>
      <c r="P142" s="168"/>
      <c r="S142" s="168"/>
      <c r="V142" s="168"/>
      <c r="Y142" s="168"/>
      <c r="AB142" s="168"/>
      <c r="AE142" s="168"/>
      <c r="AF142" s="167" t="s">
        <v>218</v>
      </c>
      <c r="AG142" s="392"/>
      <c r="AH142" s="392"/>
      <c r="AI142" s="392"/>
      <c r="AJ142" s="392"/>
      <c r="AK142" s="392"/>
      <c r="AT142" s="513"/>
      <c r="AU142" s="513"/>
      <c r="AV142" s="513"/>
      <c r="AW142" s="514"/>
      <c r="AX142" s="513"/>
      <c r="AY142" s="513"/>
    </row>
    <row r="143" spans="1:51" s="115" customFormat="1" ht="12.75" hidden="1" customHeight="1">
      <c r="A143" s="115" t="s">
        <v>43</v>
      </c>
      <c r="B143" s="115">
        <f>IF(B109=1,B129,0)</f>
        <v>47</v>
      </c>
      <c r="D143" s="168">
        <f>IF(D109=1,B129,0)</f>
        <v>0</v>
      </c>
      <c r="E143" s="115">
        <f>IF(E109=1,E129,0)</f>
        <v>0</v>
      </c>
      <c r="G143" s="168">
        <f>IF(G109=1,E129,0)</f>
        <v>0</v>
      </c>
      <c r="H143" s="115">
        <f>IF(H109=1,H129,0)</f>
        <v>47</v>
      </c>
      <c r="J143" s="168">
        <f>IF(J109=1,H129,0)</f>
        <v>0</v>
      </c>
      <c r="K143" s="115">
        <f>IF(K109=1,K129,0)</f>
        <v>0</v>
      </c>
      <c r="M143" s="168">
        <f>IF(M109=1,K129,0)</f>
        <v>0</v>
      </c>
      <c r="N143" s="115">
        <f>IF(N109=1,N129,0)</f>
        <v>0</v>
      </c>
      <c r="P143" s="168">
        <f>IF(P109=1,N129,0)</f>
        <v>0</v>
      </c>
      <c r="Q143" s="115">
        <f>IF(Q109=1,Q129,0)</f>
        <v>0</v>
      </c>
      <c r="S143" s="168">
        <f>IF(S109=1,Q129,0)</f>
        <v>0</v>
      </c>
      <c r="T143" s="115">
        <f>IF(T109=1,T129,0)</f>
        <v>0</v>
      </c>
      <c r="V143" s="168">
        <f>IF(V109=1,T129,0)</f>
        <v>0</v>
      </c>
      <c r="W143" s="115">
        <f>IF(W109=1,W129,0)</f>
        <v>0</v>
      </c>
      <c r="Y143" s="168">
        <f>IF(Y109=1,W129,0)</f>
        <v>0</v>
      </c>
      <c r="Z143" s="115">
        <f>IF(Z109=1,Z129,0)</f>
        <v>0</v>
      </c>
      <c r="AB143" s="168">
        <f>IF(AB109=1,Z129,0)</f>
        <v>0</v>
      </c>
      <c r="AC143" s="115">
        <f>IF(AC109=1,AC129,0)</f>
        <v>0</v>
      </c>
      <c r="AE143" s="168">
        <f>IF(AE109=1,AC129,0)</f>
        <v>0</v>
      </c>
      <c r="AF143" s="115">
        <f>SUM(B143:AE143)</f>
        <v>94</v>
      </c>
      <c r="AT143" s="513"/>
      <c r="AU143" s="513"/>
      <c r="AV143" s="513"/>
      <c r="AW143" s="514"/>
      <c r="AX143" s="513"/>
      <c r="AY143" s="513"/>
    </row>
    <row r="144" spans="1:51" s="115" customFormat="1" ht="12.75" hidden="1" customHeight="1">
      <c r="A144" s="115" t="s">
        <v>44</v>
      </c>
      <c r="B144" s="115">
        <f>IF(B109=2,B129,0)</f>
        <v>0</v>
      </c>
      <c r="D144" s="168">
        <f>IF(D109=2,B129,0)</f>
        <v>47</v>
      </c>
      <c r="E144" s="115">
        <f>IF(E109=2,E129,0)</f>
        <v>36</v>
      </c>
      <c r="G144" s="168">
        <f>IF(G109=2,E129,0)</f>
        <v>0</v>
      </c>
      <c r="H144" s="115">
        <f>IF(H109=2,H129,0)</f>
        <v>0</v>
      </c>
      <c r="J144" s="168">
        <f>IF(J109=2,H129,0)</f>
        <v>0</v>
      </c>
      <c r="K144" s="115">
        <f>IF(K109=2,K129,0)</f>
        <v>0</v>
      </c>
      <c r="M144" s="168">
        <f>IF(M109=2,K129,0)</f>
        <v>0</v>
      </c>
      <c r="N144" s="115">
        <f>IF(N109=2,N129,0)</f>
        <v>0</v>
      </c>
      <c r="P144" s="168">
        <f>IF(P109=2,N129,0)</f>
        <v>0</v>
      </c>
      <c r="Q144" s="115">
        <f>IF(Q109=2,Q129,0)</f>
        <v>0</v>
      </c>
      <c r="S144" s="168">
        <f>IF(S109=2,Q129,0)</f>
        <v>0</v>
      </c>
      <c r="T144" s="115">
        <f>IF(T109=2,T129,0)</f>
        <v>0</v>
      </c>
      <c r="V144" s="168">
        <f>IF(V109=2,T129,0)</f>
        <v>0</v>
      </c>
      <c r="W144" s="115">
        <f>IF(W109=2,W129,0)</f>
        <v>0</v>
      </c>
      <c r="Y144" s="168">
        <f>IF(Y109=2,W129,0)</f>
        <v>0</v>
      </c>
      <c r="Z144" s="115">
        <f>IF(Z109=2,Z129,0)</f>
        <v>0</v>
      </c>
      <c r="AB144" s="168">
        <f>IF(AB109=2,Z129,0)</f>
        <v>0</v>
      </c>
      <c r="AC144" s="115">
        <f>IF(AC109=2,AC129,0)</f>
        <v>0</v>
      </c>
      <c r="AE144" s="168">
        <f>IF(AE109=2,AC129,0)</f>
        <v>0</v>
      </c>
      <c r="AF144" s="115">
        <f>SUM(B144:AE144)</f>
        <v>83</v>
      </c>
      <c r="AT144" s="513"/>
      <c r="AU144" s="513"/>
      <c r="AV144" s="513"/>
      <c r="AW144" s="514"/>
      <c r="AX144" s="513"/>
      <c r="AY144" s="513"/>
    </row>
    <row r="145" spans="1:51" s="115" customFormat="1" ht="12.75" hidden="1" customHeight="1">
      <c r="A145" s="115" t="s">
        <v>45</v>
      </c>
      <c r="B145" s="115">
        <f>IF(B109=3,B129,0)</f>
        <v>0</v>
      </c>
      <c r="D145" s="168">
        <f>IF(D109=3,B129,0)</f>
        <v>0</v>
      </c>
      <c r="E145" s="115">
        <f>IF(E109=3,E129,0)</f>
        <v>0</v>
      </c>
      <c r="G145" s="168">
        <f>IF(G109=3,E129,0)</f>
        <v>36</v>
      </c>
      <c r="H145" s="115">
        <f>IF(H109=3,H129,0)</f>
        <v>0</v>
      </c>
      <c r="J145" s="168">
        <f>IF(J109=3,H129,0)</f>
        <v>47</v>
      </c>
      <c r="K145" s="115">
        <f>IF(K109=3,K129,0)</f>
        <v>0</v>
      </c>
      <c r="M145" s="168">
        <f>IF(M109=3,K129,0)</f>
        <v>0</v>
      </c>
      <c r="N145" s="115">
        <f>IF(N109=3,N129,0)</f>
        <v>0</v>
      </c>
      <c r="P145" s="168">
        <f>IF(P109=3,N129,0)</f>
        <v>0</v>
      </c>
      <c r="Q145" s="115">
        <f>IF(Q109=3,Q129,0)</f>
        <v>0</v>
      </c>
      <c r="S145" s="168">
        <f>IF(S109=3,Q129,0)</f>
        <v>0</v>
      </c>
      <c r="T145" s="115">
        <f>IF(T109=3,T129,0)</f>
        <v>0</v>
      </c>
      <c r="V145" s="168">
        <f>IF(V109=3,T129,0)</f>
        <v>0</v>
      </c>
      <c r="W145" s="115">
        <f>IF(W109=3,W129,0)</f>
        <v>0</v>
      </c>
      <c r="Y145" s="168">
        <f>IF(Y109=3,W129,0)</f>
        <v>0</v>
      </c>
      <c r="Z145" s="115">
        <f>IF(Z109=3,Z129,0)</f>
        <v>0</v>
      </c>
      <c r="AB145" s="168">
        <f>IF(AB109=3,Z129,0)</f>
        <v>0</v>
      </c>
      <c r="AC145" s="115">
        <f>IF(AC109=3,AC129,0)</f>
        <v>0</v>
      </c>
      <c r="AE145" s="168">
        <f>IF(AE109=3,AC129,0)</f>
        <v>0</v>
      </c>
      <c r="AF145" s="115">
        <f>SUM(B145:AE145)</f>
        <v>83</v>
      </c>
      <c r="AT145" s="513"/>
      <c r="AU145" s="513"/>
      <c r="AV145" s="513"/>
      <c r="AW145" s="514"/>
      <c r="AX145" s="513"/>
      <c r="AY145" s="513"/>
    </row>
    <row r="146" spans="1:51" s="115" customFormat="1" ht="12.75" hidden="1" customHeight="1">
      <c r="A146" s="115" t="s">
        <v>46</v>
      </c>
      <c r="B146" s="115">
        <f>IF(B109=4,B129,0)</f>
        <v>0</v>
      </c>
      <c r="D146" s="168">
        <f>IF(D109=4,B129,0)</f>
        <v>0</v>
      </c>
      <c r="E146" s="115">
        <f>IF(E109=4,E129,0)</f>
        <v>0</v>
      </c>
      <c r="G146" s="168">
        <f>IF(G109=4,E129,0)</f>
        <v>0</v>
      </c>
      <c r="H146" s="115">
        <f>IF(H109=4,H129,0)</f>
        <v>0</v>
      </c>
      <c r="J146" s="168">
        <f>IF(J109=4,H129,0)</f>
        <v>0</v>
      </c>
      <c r="K146" s="115">
        <f>IF(K109=4,K129,0)</f>
        <v>0</v>
      </c>
      <c r="M146" s="168">
        <f>IF(M109=4,K129,0)</f>
        <v>0</v>
      </c>
      <c r="N146" s="115">
        <f>IF(N109=4,N129,0)</f>
        <v>0</v>
      </c>
      <c r="P146" s="168">
        <f>IF(P109=4,N129,0)</f>
        <v>0</v>
      </c>
      <c r="Q146" s="115">
        <f>IF(Q109=4,Q129,0)</f>
        <v>0</v>
      </c>
      <c r="S146" s="168">
        <f>IF(S109=4,Q129,0)</f>
        <v>0</v>
      </c>
      <c r="T146" s="115">
        <f>IF(T109=4,T129,0)</f>
        <v>0</v>
      </c>
      <c r="V146" s="168">
        <f>IF(V109=4,T129,0)</f>
        <v>0</v>
      </c>
      <c r="W146" s="115">
        <f>IF(W109=4,W129,0)</f>
        <v>0</v>
      </c>
      <c r="Y146" s="168">
        <f>IF(Y109=4,W129,0)</f>
        <v>0</v>
      </c>
      <c r="Z146" s="115">
        <f>IF(Z109=4,Z129,0)</f>
        <v>0</v>
      </c>
      <c r="AB146" s="168">
        <f>IF(AB109=4,Z129,0)</f>
        <v>0</v>
      </c>
      <c r="AC146" s="115">
        <f>IF(AC109=4,AC129,0)</f>
        <v>0</v>
      </c>
      <c r="AE146" s="168">
        <f>IF(AE109=4,AC129,0)</f>
        <v>0</v>
      </c>
      <c r="AF146" s="115">
        <f>SUM(B146:AE146)</f>
        <v>0</v>
      </c>
      <c r="AT146" s="513"/>
      <c r="AU146" s="513"/>
      <c r="AV146" s="513"/>
      <c r="AW146" s="514"/>
      <c r="AX146" s="513"/>
      <c r="AY146" s="513"/>
    </row>
    <row r="147" spans="1:51" s="115" customFormat="1" ht="12.75" hidden="1" customHeight="1">
      <c r="A147" s="115" t="s">
        <v>47</v>
      </c>
      <c r="B147" s="115">
        <f>IF(B109=5,B129,0)</f>
        <v>0</v>
      </c>
      <c r="D147" s="168">
        <f>IF(D109=5,B129,0)</f>
        <v>0</v>
      </c>
      <c r="E147" s="115">
        <f>IF(E109=5,E129,0)</f>
        <v>0</v>
      </c>
      <c r="G147" s="168">
        <f>IF(G109=5,E129,0)</f>
        <v>0</v>
      </c>
      <c r="H147" s="115">
        <f>IF(H109=5,H129,0)</f>
        <v>0</v>
      </c>
      <c r="J147" s="168">
        <f>IF(J109=5,H129,0)</f>
        <v>0</v>
      </c>
      <c r="K147" s="115">
        <f>IF(K109=5,K129,0)</f>
        <v>0</v>
      </c>
      <c r="M147" s="168">
        <f>IF(M109=5,K129,0)</f>
        <v>0</v>
      </c>
      <c r="N147" s="115">
        <f>IF(N109=5,N129,0)</f>
        <v>0</v>
      </c>
      <c r="P147" s="168">
        <f>IF(P109=5,N129,0)</f>
        <v>0</v>
      </c>
      <c r="Q147" s="115">
        <f>IF(Q109=5,Q129,0)</f>
        <v>0</v>
      </c>
      <c r="S147" s="168">
        <f>IF(S109=5,Q129,0)</f>
        <v>0</v>
      </c>
      <c r="T147" s="115">
        <f>IF(T109=5,T129,0)</f>
        <v>0</v>
      </c>
      <c r="V147" s="168">
        <f>IF(V109=5,T129,0)</f>
        <v>0</v>
      </c>
      <c r="W147" s="115">
        <f>IF(W109=5,W129,0)</f>
        <v>0</v>
      </c>
      <c r="Y147" s="168">
        <f>IF(Y109=5,W129,0)</f>
        <v>0</v>
      </c>
      <c r="Z147" s="115">
        <f>IF(Z109=5,Z129,0)</f>
        <v>0</v>
      </c>
      <c r="AB147" s="168">
        <f>IF(AB109=5,Z129,0)</f>
        <v>0</v>
      </c>
      <c r="AC147" s="115">
        <f>IF(AC109=5,AC129,0)</f>
        <v>0</v>
      </c>
      <c r="AE147" s="168">
        <f>IF(AE109=5,AC129,0)</f>
        <v>0</v>
      </c>
      <c r="AF147" s="115">
        <f>SUM(B147:AE147)</f>
        <v>0</v>
      </c>
      <c r="AT147" s="513"/>
      <c r="AU147" s="513"/>
      <c r="AV147" s="513"/>
      <c r="AW147" s="514"/>
      <c r="AX147" s="513"/>
      <c r="AY147" s="513"/>
    </row>
    <row r="148" spans="1:51" s="115" customFormat="1" ht="38.25" hidden="1" customHeight="1">
      <c r="A148" s="115" t="s">
        <v>48</v>
      </c>
      <c r="D148" s="168"/>
      <c r="G148" s="168"/>
      <c r="J148" s="168"/>
      <c r="M148" s="168"/>
      <c r="P148" s="168"/>
      <c r="S148" s="168"/>
      <c r="V148" s="168"/>
      <c r="Y148" s="168"/>
      <c r="AB148" s="168"/>
      <c r="AE148" s="168"/>
      <c r="AF148" s="167" t="s">
        <v>219</v>
      </c>
      <c r="AG148" s="115" t="s">
        <v>220</v>
      </c>
      <c r="AT148" s="513"/>
      <c r="AU148" s="513"/>
      <c r="AV148" s="513"/>
      <c r="AW148" s="514"/>
      <c r="AX148" s="513"/>
      <c r="AY148" s="513"/>
    </row>
    <row r="149" spans="1:51" s="115" customFormat="1" ht="12.75" hidden="1" customHeight="1">
      <c r="A149" s="115" t="s">
        <v>38</v>
      </c>
      <c r="B149" s="115">
        <f>IF(B109=1,SUMIF(B116:B120,"&gt;0"),0)</f>
        <v>2</v>
      </c>
      <c r="D149" s="168">
        <f>IF(D109=1,SUMIF(D116:D120,"&gt;0"),0)</f>
        <v>0</v>
      </c>
      <c r="E149" s="115">
        <f>IF(E109=1,SUMIF(E116:E120,"&gt;0"),0)</f>
        <v>0</v>
      </c>
      <c r="G149" s="168">
        <f>IF(G109=1,SUMIF(G116:G120,"&gt;0"),0)</f>
        <v>0</v>
      </c>
      <c r="H149" s="115">
        <f>IF(H109=1,SUMIF(H116:H120,"&gt;0"),0)</f>
        <v>2</v>
      </c>
      <c r="J149" s="168">
        <f>IF(J109=1,SUMIF(J116:J120,"&gt;0"),0)</f>
        <v>0</v>
      </c>
      <c r="K149" s="115">
        <f>IF(K109=1,SUMIF(K116:K120,"&gt;0"),0)</f>
        <v>0</v>
      </c>
      <c r="M149" s="168">
        <f>IF(M109=1,SUMIF(M116:M120,"&gt;0"),0)</f>
        <v>0</v>
      </c>
      <c r="N149" s="115">
        <f>IF(N109=1,SUMIF(N116:N120,"&gt;0"),0)</f>
        <v>0</v>
      </c>
      <c r="P149" s="168">
        <f>IF(P109=1,SUMIF(P116:P120,"&gt;0"),0)</f>
        <v>0</v>
      </c>
      <c r="Q149" s="115">
        <f>IF(Q109=1,SUMIF(Q116:Q120,"&gt;0"),0)</f>
        <v>0</v>
      </c>
      <c r="S149" s="168">
        <f>IF(S109=1,SUMIF(S116:S120,"&gt;0"),0)</f>
        <v>0</v>
      </c>
      <c r="T149" s="115">
        <f>IF(T109=1,SUMIF(T116:T120,"&gt;0"),0)</f>
        <v>0</v>
      </c>
      <c r="V149" s="168">
        <f>IF(V109=1,SUMIF(V116:V120,"&gt;0"),0)</f>
        <v>0</v>
      </c>
      <c r="W149" s="115">
        <f>IF(W109=1,SUMIF(W116:W120,"&gt;0"),0)</f>
        <v>0</v>
      </c>
      <c r="Y149" s="168">
        <f>IF(Y109=1,SUMIF(Y116:Y120,"&gt;0"),0)</f>
        <v>0</v>
      </c>
      <c r="Z149" s="115">
        <f>IF(Z109=1,SUMIF(Z116:Z120,"&gt;0"),0)</f>
        <v>0</v>
      </c>
      <c r="AB149" s="168">
        <f>IF(AB109=1,SUMIF(AB116:AB120,"&gt;0"),0)</f>
        <v>0</v>
      </c>
      <c r="AC149" s="115">
        <f>IF(AC109=1,SUMIF(AC116:AC120,"&gt;0"),0)</f>
        <v>0</v>
      </c>
      <c r="AE149" s="168">
        <f>IF(AE109=1,SUMIF(AE116:AE120,"&gt;0"),0)</f>
        <v>0</v>
      </c>
      <c r="AF149" s="115">
        <f>SUM(B149:AE149)</f>
        <v>4</v>
      </c>
      <c r="AG149" s="115">
        <f>AF157-AF149</f>
        <v>0</v>
      </c>
      <c r="AT149" s="513"/>
      <c r="AU149" s="513"/>
      <c r="AV149" s="513"/>
      <c r="AW149" s="514"/>
      <c r="AX149" s="513"/>
      <c r="AY149" s="513"/>
    </row>
    <row r="150" spans="1:51" s="115" customFormat="1" ht="12.75" hidden="1" customHeight="1">
      <c r="A150" s="115" t="s">
        <v>39</v>
      </c>
      <c r="B150" s="115">
        <f>IF(B109=2,SUMIF(B116:B120,"&gt;0"),0)</f>
        <v>0</v>
      </c>
      <c r="D150" s="168">
        <f>IF(D109=2,SUMIF(D116:D120,"&gt;0"),0)</f>
        <v>0</v>
      </c>
      <c r="E150" s="115">
        <f>IF(E109=2,SUMIF(E116:E120,"&gt;0"),0)</f>
        <v>1</v>
      </c>
      <c r="G150" s="168">
        <f>IF(G109=2,SUMIF(G116:G120,"&gt;0"),0)</f>
        <v>0</v>
      </c>
      <c r="H150" s="115">
        <f>IF(H109=2,SUMIF(H116:H120,"&gt;0"),0)</f>
        <v>0</v>
      </c>
      <c r="J150" s="168">
        <f>IF(J109=2,SUMIF(J116:J120,"&gt;0"),0)</f>
        <v>0</v>
      </c>
      <c r="K150" s="115">
        <f>IF(K109=2,SUMIF(K116:K120,"&gt;0"),0)</f>
        <v>0</v>
      </c>
      <c r="M150" s="168">
        <f>IF(M109=2,SUMIF(M116:M120,"&gt;0"),0)</f>
        <v>0</v>
      </c>
      <c r="N150" s="115">
        <f>IF(N109=2,SUMIF(N116:N120,"&gt;0"),0)</f>
        <v>0</v>
      </c>
      <c r="P150" s="168">
        <f>IF(P109=2,SUMIF(P116:P120,"&gt;0"),0)</f>
        <v>0</v>
      </c>
      <c r="Q150" s="115">
        <f>IF(Q109=2,SUMIF(Q116:Q120,"&gt;0"),0)</f>
        <v>0</v>
      </c>
      <c r="S150" s="168">
        <f>IF(S109=2,SUMIF(S116:S120,"&gt;0"),0)</f>
        <v>0</v>
      </c>
      <c r="T150" s="115">
        <f>IF(T109=2,SUMIF(T116:T120,"&gt;0"),0)</f>
        <v>0</v>
      </c>
      <c r="V150" s="168">
        <f>IF(V109=2,SUMIF(V116:V120,"&gt;0"),0)</f>
        <v>0</v>
      </c>
      <c r="W150" s="115">
        <f>IF(W109=2,SUMIF(W116:W120,"&gt;0"),0)</f>
        <v>0</v>
      </c>
      <c r="Y150" s="168">
        <f>IF(Y109=2,SUMIF(Y116:Y120,"&gt;0"),0)</f>
        <v>0</v>
      </c>
      <c r="Z150" s="115">
        <f>IF(Z109=2,SUMIF(Z116:Z120,"&gt;0"),0)</f>
        <v>0</v>
      </c>
      <c r="AB150" s="168">
        <f>IF(AB109=2,SUMIF(AB116:AB120,"&gt;0"),0)</f>
        <v>0</v>
      </c>
      <c r="AC150" s="115">
        <f>IF(AC109=2,SUMIF(AC116:AC120,"&gt;0"),0)</f>
        <v>0</v>
      </c>
      <c r="AE150" s="168">
        <f>IF(AE109=2,SUMIF(AE116:AE120,"&gt;0"),0)</f>
        <v>0</v>
      </c>
      <c r="AF150" s="115">
        <f>SUM(B150:AE150)</f>
        <v>1</v>
      </c>
      <c r="AG150" s="115">
        <f>AF158-AF150</f>
        <v>3</v>
      </c>
      <c r="AT150" s="513"/>
      <c r="AU150" s="513"/>
      <c r="AV150" s="513"/>
      <c r="AW150" s="514"/>
      <c r="AX150" s="513"/>
      <c r="AY150" s="513"/>
    </row>
    <row r="151" spans="1:51" s="115" customFormat="1" ht="12.75" hidden="1" customHeight="1">
      <c r="A151" s="115" t="s">
        <v>40</v>
      </c>
      <c r="B151" s="115">
        <f>IF(B109=3,SUMIF(B116:B120,"&gt;0"),0)</f>
        <v>0</v>
      </c>
      <c r="D151" s="168">
        <f>IF(D109=3,SUMIF(D116:D120,"&gt;0"),0)</f>
        <v>0</v>
      </c>
      <c r="E151" s="115">
        <f>IF(E109=3,SUMIF(E116:E120,"&gt;0"),0)</f>
        <v>0</v>
      </c>
      <c r="G151" s="168">
        <f>IF(G109=3,SUMIF(G116:G120,"&gt;0"),0)</f>
        <v>1</v>
      </c>
      <c r="H151" s="115">
        <f>IF(H109=3,SUMIF(H116:H120,"&gt;0"),0)</f>
        <v>0</v>
      </c>
      <c r="J151" s="168">
        <f>IF(J109=3,SUMIF(J116:J120,"&gt;0"),0)</f>
        <v>0</v>
      </c>
      <c r="K151" s="115">
        <f>IF(K109=3,SUMIF(K116:K120,"&gt;0"),0)</f>
        <v>0</v>
      </c>
      <c r="M151" s="168">
        <f>IF(M109=3,SUMIF(M116:M120,"&gt;0"),0)</f>
        <v>0</v>
      </c>
      <c r="N151" s="115">
        <f>IF(N109=3,SUMIF(N116:N120,"&gt;0"),0)</f>
        <v>0</v>
      </c>
      <c r="P151" s="168">
        <f>IF(P109=3,SUMIF(P116:P120,"&gt;0"),0)</f>
        <v>0</v>
      </c>
      <c r="Q151" s="115">
        <f>IF(Q109=3,SUMIF(Q116:Q120,"&gt;0"),0)</f>
        <v>0</v>
      </c>
      <c r="S151" s="168">
        <f>IF(S109=3,SUMIF(S116:S120,"&gt;0"),0)</f>
        <v>0</v>
      </c>
      <c r="T151" s="115">
        <f>IF(T109=3,SUMIF(T116:T120,"&gt;0"),0)</f>
        <v>0</v>
      </c>
      <c r="V151" s="168">
        <f>IF(V109=3,SUMIF(V116:V120,"&gt;0"),0)</f>
        <v>0</v>
      </c>
      <c r="W151" s="115">
        <f>IF(W109=3,SUMIF(W116:W120,"&gt;0"),0)</f>
        <v>0</v>
      </c>
      <c r="Y151" s="168">
        <f>IF(Y109=3,SUMIF(Y116:Y120,"&gt;0"),0)</f>
        <v>0</v>
      </c>
      <c r="Z151" s="115">
        <f>IF(Z109=3,SUMIF(Z116:Z120,"&gt;0"),0)</f>
        <v>0</v>
      </c>
      <c r="AB151" s="168">
        <f>IF(AB109=3,SUMIF(AB116:AB120,"&gt;0"),0)</f>
        <v>0</v>
      </c>
      <c r="AC151" s="115">
        <f>IF(AC109=3,SUMIF(AC116:AC120,"&gt;0"),0)</f>
        <v>0</v>
      </c>
      <c r="AE151" s="168">
        <f>IF(AE109=3,SUMIF(AE116:AE120,"&gt;0"),0)</f>
        <v>0</v>
      </c>
      <c r="AF151" s="115">
        <f>SUM(B151:AE151)</f>
        <v>1</v>
      </c>
      <c r="AG151" s="115">
        <f>AF159-AF151</f>
        <v>3</v>
      </c>
      <c r="AT151" s="513"/>
      <c r="AU151" s="513"/>
      <c r="AV151" s="513"/>
      <c r="AW151" s="514"/>
      <c r="AX151" s="513"/>
      <c r="AY151" s="513"/>
    </row>
    <row r="152" spans="1:51" s="115" customFormat="1" ht="12.75" hidden="1" customHeight="1">
      <c r="A152" s="115" t="s">
        <v>41</v>
      </c>
      <c r="B152" s="115">
        <f>IF(B109=4,SUMIF(B116:B120,"&gt;0"),0)</f>
        <v>0</v>
      </c>
      <c r="D152" s="168">
        <f>IF(D109=4,SUMIF(D116:D120,"&gt;0"),0)</f>
        <v>0</v>
      </c>
      <c r="E152" s="115">
        <f>IF(E109=4,SUMIF(E116:E120,"&gt;0"),0)</f>
        <v>0</v>
      </c>
      <c r="G152" s="168">
        <f>IF(G109=4,SUMIF(G116:G120,"&gt;0"),0)</f>
        <v>0</v>
      </c>
      <c r="H152" s="115">
        <f>IF(H109=4,SUMIF(H116:H120,"&gt;0"),0)</f>
        <v>0</v>
      </c>
      <c r="J152" s="168">
        <f>IF(J109=4,SUMIF(J116:J120,"&gt;0"),0)</f>
        <v>0</v>
      </c>
      <c r="K152" s="115">
        <f>IF(K109=4,SUMIF(K116:K120,"&gt;0"),0)</f>
        <v>0</v>
      </c>
      <c r="M152" s="168">
        <f>IF(M109=4,SUMIF(M116:M120,"&gt;0"),0)</f>
        <v>0</v>
      </c>
      <c r="N152" s="115">
        <f>IF(N109=4,SUMIF(N116:N120,"&gt;0"),0)</f>
        <v>0</v>
      </c>
      <c r="P152" s="168">
        <f>IF(P109=4,SUMIF(P116:P120,"&gt;0"),0)</f>
        <v>0</v>
      </c>
      <c r="Q152" s="115">
        <f>IF(Q109=4,SUMIF(Q116:Q120,"&gt;0"),0)</f>
        <v>0</v>
      </c>
      <c r="S152" s="168">
        <f>IF(S109=4,SUMIF(S116:S120,"&gt;0"),0)</f>
        <v>0</v>
      </c>
      <c r="T152" s="115">
        <f>IF(T109=4,SUMIF(T116:T120,"&gt;0"),0)</f>
        <v>0</v>
      </c>
      <c r="V152" s="168">
        <f>IF(V109=4,SUMIF(V116:V120,"&gt;0"),0)</f>
        <v>0</v>
      </c>
      <c r="W152" s="115">
        <f>IF(W109=4,SUMIF(W116:W120,"&gt;0"),0)</f>
        <v>0</v>
      </c>
      <c r="Y152" s="168">
        <f>IF(Y109=4,SUMIF(Y116:Y120,"&gt;0"),0)</f>
        <v>0</v>
      </c>
      <c r="Z152" s="115">
        <f>IF(Z109=4,SUMIF(Z116:Z120,"&gt;0"),0)</f>
        <v>0</v>
      </c>
      <c r="AB152" s="168">
        <f>IF(AB109=4,SUMIF(AB116:AB120,"&gt;0"),0)</f>
        <v>0</v>
      </c>
      <c r="AC152" s="115">
        <f>IF(AC109=4,SUMIF(AC116:AC120,"&gt;0"),0)</f>
        <v>0</v>
      </c>
      <c r="AE152" s="168">
        <f>IF(AE109=4,SUMIF(AE116:AE120,"&gt;0"),0)</f>
        <v>0</v>
      </c>
      <c r="AF152" s="115">
        <f>SUM(B152:AE152)</f>
        <v>0</v>
      </c>
      <c r="AG152" s="115">
        <f>AF160-AF152</f>
        <v>0</v>
      </c>
      <c r="AT152" s="513"/>
      <c r="AU152" s="513"/>
      <c r="AV152" s="513"/>
      <c r="AW152" s="514"/>
      <c r="AX152" s="513"/>
      <c r="AY152" s="513"/>
    </row>
    <row r="153" spans="1:51" s="115" customFormat="1" ht="12.75" hidden="1" customHeight="1">
      <c r="A153" s="115" t="s">
        <v>42</v>
      </c>
      <c r="B153" s="115">
        <f>IF(B109=5,SUMIF(B116:B120,"&gt;0"),0)</f>
        <v>0</v>
      </c>
      <c r="D153" s="168">
        <f>IF(D109=5,SUMIF(D116:D120,"&gt;0"),0)</f>
        <v>0</v>
      </c>
      <c r="E153" s="115">
        <f>IF(E109=5,SUMIF(E116:E120,"&gt;0"),0)</f>
        <v>0</v>
      </c>
      <c r="G153" s="168">
        <f>IF(G109=5,SUMIF(G116:G120,"&gt;0"),0)</f>
        <v>0</v>
      </c>
      <c r="H153" s="115">
        <f>IF(H109=5,SUMIF(H116:H120,"&gt;0"),0)</f>
        <v>0</v>
      </c>
      <c r="J153" s="168">
        <f>IF(J109=5,SUMIF(J116:J120,"&gt;0"),0)</f>
        <v>0</v>
      </c>
      <c r="K153" s="115">
        <f>IF(K109=5,SUMIF(K116:K120,"&gt;0"),0)</f>
        <v>0</v>
      </c>
      <c r="M153" s="168">
        <f>IF(M109=5,SUMIF(M116:M120,"&gt;0"),0)</f>
        <v>0</v>
      </c>
      <c r="N153" s="115">
        <f>IF(N109=5,SUMIF(N116:N120,"&gt;0"),0)</f>
        <v>0</v>
      </c>
      <c r="P153" s="168">
        <f>IF(P109=5,SUMIF(P116:P120,"&gt;0"),0)</f>
        <v>0</v>
      </c>
      <c r="Q153" s="115">
        <f>IF(Q109=5,SUMIF(Q116:Q120,"&gt;0"),0)</f>
        <v>0</v>
      </c>
      <c r="S153" s="168">
        <f>IF(S109=5,SUMIF(S116:S120,"&gt;0"),0)</f>
        <v>0</v>
      </c>
      <c r="T153" s="115">
        <f>IF(T109=5,SUMIF(T116:T120,"&gt;0"),0)</f>
        <v>0</v>
      </c>
      <c r="V153" s="168">
        <f>IF(V109=5,SUMIF(V116:V120,"&gt;0"),0)</f>
        <v>0</v>
      </c>
      <c r="W153" s="115">
        <f>IF(W109=5,SUMIF(W116:W120,"&gt;0"),0)</f>
        <v>0</v>
      </c>
      <c r="Y153" s="168">
        <f>IF(Y109=5,SUMIF(Y116:Y120,"&gt;0"),0)</f>
        <v>0</v>
      </c>
      <c r="Z153" s="115">
        <f>IF(Z109=5,SUMIF(Z116:Z120,"&gt;0"),0)</f>
        <v>0</v>
      </c>
      <c r="AB153" s="168">
        <f>IF(AB109=5,SUMIF(AB116:AB120,"&gt;0"),0)</f>
        <v>0</v>
      </c>
      <c r="AC153" s="115">
        <f>IF(AC109=5,SUMIF(AC116:AC120,"&gt;0"),0)</f>
        <v>0</v>
      </c>
      <c r="AE153" s="168">
        <f>IF(AE109=5,SUMIF(AE116:AE120,"&gt;0"),0)</f>
        <v>0</v>
      </c>
      <c r="AF153" s="115">
        <f>SUM(B153:AE153)</f>
        <v>0</v>
      </c>
      <c r="AG153" s="115">
        <f>AF161-AF153</f>
        <v>0</v>
      </c>
      <c r="AT153" s="513"/>
      <c r="AU153" s="513"/>
      <c r="AV153" s="513"/>
      <c r="AW153" s="514"/>
      <c r="AX153" s="513"/>
      <c r="AY153" s="513"/>
    </row>
    <row r="154" spans="1:51" s="115" customFormat="1" ht="12.75" hidden="1" customHeight="1">
      <c r="D154" s="168"/>
      <c r="G154" s="168"/>
      <c r="J154" s="168"/>
      <c r="M154" s="168"/>
      <c r="P154" s="168"/>
      <c r="S154" s="168"/>
      <c r="V154" s="168"/>
      <c r="Y154" s="168"/>
      <c r="AB154" s="168"/>
      <c r="AE154" s="168"/>
      <c r="AT154" s="513"/>
      <c r="AU154" s="513"/>
      <c r="AV154" s="513"/>
      <c r="AW154" s="514"/>
      <c r="AX154" s="513"/>
      <c r="AY154" s="513"/>
    </row>
    <row r="155" spans="1:51" s="115" customFormat="1" ht="12.75" hidden="1" customHeight="1">
      <c r="D155" s="168"/>
      <c r="G155" s="168"/>
      <c r="J155" s="168"/>
      <c r="M155" s="168"/>
      <c r="P155" s="168"/>
      <c r="S155" s="168"/>
      <c r="V155" s="168"/>
      <c r="Y155" s="168"/>
      <c r="AB155" s="168"/>
      <c r="AE155" s="168"/>
      <c r="AT155" s="513"/>
      <c r="AU155" s="513"/>
      <c r="AV155" s="513"/>
      <c r="AW155" s="514"/>
      <c r="AX155" s="513"/>
      <c r="AY155" s="513"/>
    </row>
    <row r="156" spans="1:51" s="115" customFormat="1" ht="51" hidden="1" customHeight="1">
      <c r="A156" s="167" t="s">
        <v>221</v>
      </c>
      <c r="C156" s="115">
        <f>SUMIF(B149:D153,"&gt;0")</f>
        <v>2</v>
      </c>
      <c r="D156" s="168"/>
      <c r="F156" s="115">
        <f>SUMIF(E149:G153,"&gt;0")</f>
        <v>2</v>
      </c>
      <c r="G156" s="168"/>
      <c r="I156" s="115">
        <f>SUMIF(H149:J153,"&gt;0")</f>
        <v>2</v>
      </c>
      <c r="J156" s="168"/>
      <c r="L156" s="115">
        <f>SUMIF(K149:M153,"&gt;0")</f>
        <v>0</v>
      </c>
      <c r="M156" s="168"/>
      <c r="O156" s="115">
        <f>SUMIF(N149:P153,"&gt;0")</f>
        <v>0</v>
      </c>
      <c r="P156" s="168"/>
      <c r="R156" s="115">
        <f>SUMIF(Q149:S153,"&gt;0")</f>
        <v>0</v>
      </c>
      <c r="S156" s="168"/>
      <c r="U156" s="115">
        <f>SUMIF(T149:V153,"&gt;0")</f>
        <v>0</v>
      </c>
      <c r="V156" s="168"/>
      <c r="X156" s="115">
        <f>SUMIF(W149:Y153,"&gt;0")</f>
        <v>0</v>
      </c>
      <c r="Y156" s="168"/>
      <c r="AA156" s="115">
        <f>SUMIF(Z149:AB153,"&gt;0")</f>
        <v>0</v>
      </c>
      <c r="AB156" s="168"/>
      <c r="AD156" s="115">
        <f>SUMIF(AC149:AE153,"&gt;0")</f>
        <v>0</v>
      </c>
      <c r="AE156" s="168"/>
      <c r="AF156" s="167" t="s">
        <v>222</v>
      </c>
      <c r="AT156" s="513"/>
      <c r="AU156" s="513"/>
      <c r="AV156" s="513"/>
      <c r="AW156" s="514"/>
      <c r="AX156" s="513"/>
      <c r="AY156" s="513"/>
    </row>
    <row r="157" spans="1:51" s="115" customFormat="1" ht="12.75" hidden="1" customHeight="1">
      <c r="A157" s="115" t="s">
        <v>43</v>
      </c>
      <c r="B157" s="115">
        <f>IF(B109=1,C156,0)</f>
        <v>2</v>
      </c>
      <c r="D157" s="168">
        <f>IF(D109=1,C156,0)</f>
        <v>0</v>
      </c>
      <c r="E157" s="115">
        <f>IF(E109=1,F156,0)</f>
        <v>0</v>
      </c>
      <c r="G157" s="168">
        <f>IF(G109=1,F156,0)</f>
        <v>0</v>
      </c>
      <c r="H157" s="115">
        <f>IF(H109=1,I156,0)</f>
        <v>2</v>
      </c>
      <c r="J157" s="168">
        <f>IF(J109=1,I156,0)</f>
        <v>0</v>
      </c>
      <c r="K157" s="115">
        <f>IF(K109=1,L156,0)</f>
        <v>0</v>
      </c>
      <c r="M157" s="168">
        <f>IF(M109=1,L156,0)</f>
        <v>0</v>
      </c>
      <c r="N157" s="115">
        <f>IF(N109=1,O156,0)</f>
        <v>0</v>
      </c>
      <c r="P157" s="168">
        <f>IF(P109=1,O156,0)</f>
        <v>0</v>
      </c>
      <c r="Q157" s="115">
        <f>IF(Q109=1,R156,0)</f>
        <v>0</v>
      </c>
      <c r="S157" s="168">
        <f>IF(S109=1,R156,0)</f>
        <v>0</v>
      </c>
      <c r="T157" s="115">
        <f>IF(T109=1,U156,0)</f>
        <v>0</v>
      </c>
      <c r="V157" s="168">
        <f>IF(V109=1,U156,0)</f>
        <v>0</v>
      </c>
      <c r="W157" s="115">
        <f>IF(W109=1,X156,0)</f>
        <v>0</v>
      </c>
      <c r="Y157" s="168">
        <f>IF(Y109=1,X156,0)</f>
        <v>0</v>
      </c>
      <c r="Z157" s="115">
        <f>IF(Z109=1,AA156,0)</f>
        <v>0</v>
      </c>
      <c r="AB157" s="168">
        <f>IF(AB109=1,AA156,0)</f>
        <v>0</v>
      </c>
      <c r="AC157" s="115">
        <f>IF(AC109=1,AD156,0)</f>
        <v>0</v>
      </c>
      <c r="AE157" s="168">
        <f>IF(AE109=1,AD156,0)</f>
        <v>0</v>
      </c>
      <c r="AF157" s="115">
        <f>SUM(B157:AE157)</f>
        <v>4</v>
      </c>
      <c r="AT157" s="513"/>
      <c r="AU157" s="513"/>
      <c r="AV157" s="513"/>
      <c r="AW157" s="514"/>
      <c r="AX157" s="513"/>
      <c r="AY157" s="513"/>
    </row>
    <row r="158" spans="1:51" s="115" customFormat="1" ht="12.75" hidden="1" customHeight="1">
      <c r="A158" s="115" t="s">
        <v>44</v>
      </c>
      <c r="B158" s="115">
        <f>IF(B109=2,C156,0)</f>
        <v>0</v>
      </c>
      <c r="D158" s="168">
        <f>IF(D109=2,C156,0)</f>
        <v>2</v>
      </c>
      <c r="E158" s="115">
        <f>IF(E109=2,F156,0)</f>
        <v>2</v>
      </c>
      <c r="G158" s="168">
        <f>IF(G109=2,F156,0)</f>
        <v>0</v>
      </c>
      <c r="H158" s="115">
        <f>IF(H109=2,I156,0)</f>
        <v>0</v>
      </c>
      <c r="J158" s="168">
        <f>IF(J109=2,I156,0)</f>
        <v>0</v>
      </c>
      <c r="K158" s="115">
        <f>IF(K109=2,L156,0)</f>
        <v>0</v>
      </c>
      <c r="M158" s="168">
        <f>IF(M109=2,L156,0)</f>
        <v>0</v>
      </c>
      <c r="N158" s="115">
        <f>IF(N109=2,O156,0)</f>
        <v>0</v>
      </c>
      <c r="P158" s="168">
        <f>IF(P109=2,O156,0)</f>
        <v>0</v>
      </c>
      <c r="Q158" s="115">
        <f>IF(Q109=2,R156,0)</f>
        <v>0</v>
      </c>
      <c r="S158" s="168">
        <f>IF(S109=2,R156,0)</f>
        <v>0</v>
      </c>
      <c r="T158" s="115">
        <f>IF(T109=2,U156,0)</f>
        <v>0</v>
      </c>
      <c r="V158" s="168">
        <f>IF(V109=2,U156,0)</f>
        <v>0</v>
      </c>
      <c r="W158" s="115">
        <f>IF(W109=2,X156,0)</f>
        <v>0</v>
      </c>
      <c r="Y158" s="168">
        <f>IF(Y109=2,X156,0)</f>
        <v>0</v>
      </c>
      <c r="Z158" s="115">
        <f>IF(Z109=2,AA156,0)</f>
        <v>0</v>
      </c>
      <c r="AB158" s="168">
        <f>IF(AB109=2,AA156,0)</f>
        <v>0</v>
      </c>
      <c r="AC158" s="115">
        <f>IF(AC109=2,AD156,0)</f>
        <v>0</v>
      </c>
      <c r="AE158" s="168">
        <f>IF(AE109=2,AD156,0)</f>
        <v>0</v>
      </c>
      <c r="AF158" s="115">
        <f>SUM(B158:AE158)</f>
        <v>4</v>
      </c>
      <c r="AT158" s="513"/>
      <c r="AU158" s="513"/>
      <c r="AV158" s="513"/>
      <c r="AW158" s="514"/>
      <c r="AX158" s="513"/>
      <c r="AY158" s="513"/>
    </row>
    <row r="159" spans="1:51" s="115" customFormat="1" ht="12.75" hidden="1" customHeight="1">
      <c r="A159" s="115" t="s">
        <v>45</v>
      </c>
      <c r="B159" s="115">
        <f>IF(B109=3,C156,0)</f>
        <v>0</v>
      </c>
      <c r="D159" s="168">
        <f>IF(D109=3,C156,0)</f>
        <v>0</v>
      </c>
      <c r="E159" s="115">
        <f>IF(E109=3,F156,0)</f>
        <v>0</v>
      </c>
      <c r="G159" s="168">
        <f>IF(G109=3,F156,0)</f>
        <v>2</v>
      </c>
      <c r="H159" s="115">
        <f>IF(H109=3,I156,0)</f>
        <v>0</v>
      </c>
      <c r="J159" s="168">
        <f>IF(J109=3,I156,0)</f>
        <v>2</v>
      </c>
      <c r="K159" s="115">
        <f>IF(K109=3,L156,0)</f>
        <v>0</v>
      </c>
      <c r="M159" s="168">
        <f>IF(M109=3,L156,0)</f>
        <v>0</v>
      </c>
      <c r="N159" s="115">
        <f>IF(N109=3,O156,0)</f>
        <v>0</v>
      </c>
      <c r="P159" s="168">
        <f>IF(P109=3,O156,0)</f>
        <v>0</v>
      </c>
      <c r="Q159" s="115">
        <f>IF(Q109=3,R156,0)</f>
        <v>0</v>
      </c>
      <c r="S159" s="168">
        <f>IF(S109=3,R156,0)</f>
        <v>0</v>
      </c>
      <c r="T159" s="115">
        <f>IF(T109=3,U156,0)</f>
        <v>0</v>
      </c>
      <c r="V159" s="168">
        <f>IF(V109=3,U156,0)</f>
        <v>0</v>
      </c>
      <c r="W159" s="115">
        <f>IF(W109=3,X156,0)</f>
        <v>0</v>
      </c>
      <c r="Y159" s="168">
        <f>IF(Y109=3,X156,0)</f>
        <v>0</v>
      </c>
      <c r="Z159" s="115">
        <f>IF(Z109=3,AA156,0)</f>
        <v>0</v>
      </c>
      <c r="AB159" s="168">
        <f>IF(AB109=3,AA156,0)</f>
        <v>0</v>
      </c>
      <c r="AC159" s="115">
        <f>IF(AC109=3,AD156,0)</f>
        <v>0</v>
      </c>
      <c r="AE159" s="168">
        <f>IF(AE109=3,AD156,0)</f>
        <v>0</v>
      </c>
      <c r="AF159" s="115">
        <f>SUM(B159:AE159)</f>
        <v>4</v>
      </c>
      <c r="AT159" s="513"/>
      <c r="AU159" s="513"/>
      <c r="AV159" s="513"/>
      <c r="AW159" s="514"/>
      <c r="AX159" s="513"/>
      <c r="AY159" s="513"/>
    </row>
    <row r="160" spans="1:51" s="115" customFormat="1" ht="12.75" hidden="1" customHeight="1">
      <c r="A160" s="115" t="s">
        <v>46</v>
      </c>
      <c r="B160" s="115">
        <f>IF(B109=4,C156,0)</f>
        <v>0</v>
      </c>
      <c r="D160" s="168">
        <f>IF(D109=4,C156,0)</f>
        <v>0</v>
      </c>
      <c r="E160" s="115">
        <f>IF(E109=4,F156,0)</f>
        <v>0</v>
      </c>
      <c r="G160" s="168">
        <f>IF(G109=4,F156,0)</f>
        <v>0</v>
      </c>
      <c r="H160" s="115">
        <f>IF(H109=4,I156,0)</f>
        <v>0</v>
      </c>
      <c r="J160" s="168">
        <f>IF(J109=4,I156,0)</f>
        <v>0</v>
      </c>
      <c r="K160" s="115">
        <f>IF(K109=4,L156,0)</f>
        <v>0</v>
      </c>
      <c r="M160" s="168">
        <f>IF(M109=4,L156,0)</f>
        <v>0</v>
      </c>
      <c r="N160" s="115">
        <f>IF(N109=4,O156,0)</f>
        <v>0</v>
      </c>
      <c r="P160" s="168">
        <f>IF(P109=4,O156,0)</f>
        <v>0</v>
      </c>
      <c r="Q160" s="115">
        <f>IF(Q109=4,R156,0)</f>
        <v>0</v>
      </c>
      <c r="S160" s="168">
        <f>IF(S109=4,R156,0)</f>
        <v>0</v>
      </c>
      <c r="T160" s="115">
        <f>IF(T109=4,U156,0)</f>
        <v>0</v>
      </c>
      <c r="V160" s="168">
        <f>IF(V109=4,U156,0)</f>
        <v>0</v>
      </c>
      <c r="W160" s="115">
        <f>IF(W109=4,X156,0)</f>
        <v>0</v>
      </c>
      <c r="Y160" s="168">
        <f>IF(Y109=4,X156,0)</f>
        <v>0</v>
      </c>
      <c r="Z160" s="115">
        <f>IF(Z109=4,AA156,0)</f>
        <v>0</v>
      </c>
      <c r="AB160" s="168">
        <f>IF(AB109=4,AA156,0)</f>
        <v>0</v>
      </c>
      <c r="AC160" s="115">
        <f>IF(AC109=4,AD156,0)</f>
        <v>0</v>
      </c>
      <c r="AE160" s="168">
        <f>IF(AE109=4,AD156,0)</f>
        <v>0</v>
      </c>
      <c r="AF160" s="115">
        <f>SUM(B160:AE160)</f>
        <v>0</v>
      </c>
      <c r="AT160" s="513"/>
      <c r="AU160" s="513"/>
      <c r="AV160" s="513"/>
      <c r="AW160" s="514"/>
      <c r="AX160" s="513"/>
      <c r="AY160" s="513"/>
    </row>
    <row r="161" spans="1:54" s="115" customFormat="1" ht="12.75" hidden="1" customHeight="1">
      <c r="A161" s="115" t="s">
        <v>47</v>
      </c>
      <c r="B161" s="115">
        <f>IF(B109=5,C156,0)</f>
        <v>0</v>
      </c>
      <c r="D161" s="168">
        <f>IF(D109=5,C156,0)</f>
        <v>0</v>
      </c>
      <c r="E161" s="115">
        <f>IF(E109=5,F156,0)</f>
        <v>0</v>
      </c>
      <c r="G161" s="168">
        <f>IF(G109=5,F156,0)</f>
        <v>0</v>
      </c>
      <c r="H161" s="115">
        <f>IF(H109=5,I156,0)</f>
        <v>0</v>
      </c>
      <c r="J161" s="168">
        <f>IF(J109=5,I156,0)</f>
        <v>0</v>
      </c>
      <c r="K161" s="115">
        <f>IF(K109=5,L156,0)</f>
        <v>0</v>
      </c>
      <c r="M161" s="168">
        <f>IF(M109=5,L156,0)</f>
        <v>0</v>
      </c>
      <c r="N161" s="115">
        <f>IF(N109=5,O156,0)</f>
        <v>0</v>
      </c>
      <c r="P161" s="168">
        <f>IF(P109=5,O156,0)</f>
        <v>0</v>
      </c>
      <c r="Q161" s="115">
        <f>IF(Q109=5,R156,0)</f>
        <v>0</v>
      </c>
      <c r="S161" s="168">
        <f>IF(S109=5,R156,0)</f>
        <v>0</v>
      </c>
      <c r="T161" s="115">
        <f>IF(T109=5,U156,0)</f>
        <v>0</v>
      </c>
      <c r="V161" s="168">
        <f>IF(V109=5,U156,0)</f>
        <v>0</v>
      </c>
      <c r="W161" s="115">
        <f>IF(W109=5,X156,0)</f>
        <v>0</v>
      </c>
      <c r="Y161" s="168">
        <f>IF(Y109=5,X156,0)</f>
        <v>0</v>
      </c>
      <c r="Z161" s="115">
        <f>IF(Z109=5,AA156,0)</f>
        <v>0</v>
      </c>
      <c r="AB161" s="168">
        <f>IF(AB109=5,AA156,0)</f>
        <v>0</v>
      </c>
      <c r="AC161" s="115">
        <f>IF(AC109=5,AD156,0)</f>
        <v>0</v>
      </c>
      <c r="AE161" s="168">
        <f>IF(AE109=5,AD156,0)</f>
        <v>0</v>
      </c>
      <c r="AF161" s="115">
        <f>SUM(B161:AE161)</f>
        <v>0</v>
      </c>
      <c r="AT161" s="513"/>
      <c r="AU161" s="513"/>
      <c r="AV161" s="513"/>
      <c r="AW161" s="514"/>
      <c r="AX161" s="513"/>
      <c r="AY161" s="513"/>
    </row>
    <row r="162" spans="1:54" hidden="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c r="W162" s="118"/>
      <c r="X162" s="118"/>
      <c r="Y162" s="118"/>
      <c r="Z162" s="118"/>
      <c r="AA162" s="118"/>
      <c r="AB162" s="118"/>
      <c r="AC162" s="118"/>
      <c r="AD162" s="118"/>
      <c r="AE162" s="118"/>
      <c r="AF162" s="118"/>
      <c r="AG162" s="118"/>
      <c r="AH162" s="118"/>
      <c r="AI162" s="118"/>
      <c r="AJ162" s="118"/>
      <c r="AK162" s="118"/>
      <c r="AL162" s="118"/>
      <c r="AM162" s="118"/>
      <c r="AN162" s="119"/>
      <c r="AO162" s="119"/>
      <c r="AP162" s="119"/>
      <c r="AQ162" s="119"/>
      <c r="AR162" s="117"/>
      <c r="AS162" s="117"/>
      <c r="AT162" s="513"/>
      <c r="AU162" s="513"/>
      <c r="AV162" s="513"/>
      <c r="BB162" s="39"/>
    </row>
    <row r="163" spans="1:54" s="117" customFormat="1" hidden="1">
      <c r="A163" s="34"/>
      <c r="B163" s="34"/>
      <c r="C163" s="34" t="s">
        <v>223</v>
      </c>
      <c r="D163" s="34">
        <v>1</v>
      </c>
      <c r="E163" s="34"/>
      <c r="F163" s="34"/>
      <c r="G163" s="34">
        <v>2</v>
      </c>
      <c r="H163" s="34"/>
      <c r="I163" s="34"/>
      <c r="J163" s="34">
        <v>3</v>
      </c>
      <c r="K163" s="34"/>
      <c r="L163" s="34"/>
      <c r="M163" s="34">
        <v>4</v>
      </c>
      <c r="N163" s="34"/>
      <c r="O163" s="34"/>
      <c r="P163" s="34">
        <v>5</v>
      </c>
      <c r="Q163" s="34"/>
      <c r="R163" s="34"/>
      <c r="S163" s="34">
        <v>6</v>
      </c>
      <c r="T163" s="34"/>
      <c r="U163" s="34"/>
      <c r="V163" s="34">
        <v>7</v>
      </c>
      <c r="W163" s="34"/>
      <c r="X163" s="34"/>
      <c r="Y163" s="34">
        <v>8</v>
      </c>
      <c r="Z163" s="34"/>
      <c r="AA163" s="34"/>
      <c r="AB163" s="34">
        <v>9</v>
      </c>
      <c r="AC163" s="34"/>
      <c r="AD163" s="34"/>
      <c r="AE163" s="34">
        <v>10</v>
      </c>
      <c r="AF163" s="3"/>
      <c r="AG163" s="34"/>
      <c r="AI163" s="169"/>
      <c r="AJ163" s="3"/>
      <c r="AK163" s="3"/>
      <c r="AL163" s="3"/>
      <c r="AM163" s="3"/>
      <c r="AN163" s="3"/>
      <c r="AO163" s="3"/>
      <c r="AT163" s="515" t="s">
        <v>224</v>
      </c>
      <c r="AU163" s="513"/>
      <c r="AV163" s="513"/>
      <c r="AW163" s="514"/>
      <c r="AX163" s="513"/>
      <c r="AY163" s="513"/>
      <c r="BB163" s="170"/>
    </row>
    <row r="164" spans="1:54" s="117" customFormat="1" hidden="1">
      <c r="A164" s="171">
        <v>1</v>
      </c>
      <c r="B164" s="171" t="str">
        <f>E93</f>
        <v>Magnum 12 Black</v>
      </c>
      <c r="C164" s="171">
        <f>VLOOKUP(B164,AU$3:BB$33,3,FALSE)</f>
        <v>1500</v>
      </c>
      <c r="D164" s="171">
        <f>IF(B157,B172,IF(D157,D172,C164))</f>
        <v>1509.6626916615246</v>
      </c>
      <c r="E164" s="171"/>
      <c r="F164" s="171"/>
      <c r="G164" s="171">
        <f>IF(E157,E172,IF(G157,G172,D164))</f>
        <v>1509.6626916615246</v>
      </c>
      <c r="H164" s="171"/>
      <c r="I164" s="171"/>
      <c r="J164" s="171">
        <f>IF(H157,H172,IF(J157,J172,G164))</f>
        <v>1530.4660296046136</v>
      </c>
      <c r="K164" s="171"/>
      <c r="L164" s="171"/>
      <c r="M164" s="171">
        <f>IF(K157,K172,IF(M157,M172,J164))</f>
        <v>1530.4660296046136</v>
      </c>
      <c r="N164" s="171"/>
      <c r="O164" s="171"/>
      <c r="P164" s="171">
        <f>IF(N157,N172,IF(P157,P172,M164))</f>
        <v>1530.4660296046136</v>
      </c>
      <c r="Q164" s="171"/>
      <c r="R164" s="171"/>
      <c r="S164" s="171">
        <f>IF(Q157,Q172,IF(S157,S172,P164))</f>
        <v>1530.4660296046136</v>
      </c>
      <c r="T164" s="171"/>
      <c r="U164" s="171"/>
      <c r="V164" s="171">
        <f>IF(T157,T172,IF(V157,V172,S164))</f>
        <v>1530.4660296046136</v>
      </c>
      <c r="W164" s="171"/>
      <c r="X164" s="171"/>
      <c r="Y164" s="171">
        <f>IF(W157,W172,IF(Y157,Y172,V164))</f>
        <v>1530.4660296046136</v>
      </c>
      <c r="Z164" s="171"/>
      <c r="AA164" s="171"/>
      <c r="AB164" s="171">
        <f>IF(Z157,Z172,IF(AB157,AB172,Y164))</f>
        <v>1530.4660296046136</v>
      </c>
      <c r="AC164" s="171"/>
      <c r="AD164" s="171"/>
      <c r="AE164" s="171">
        <f>IF(AC157,AC172,IF(AE157,AE172,AB164))</f>
        <v>1530.4660296046136</v>
      </c>
      <c r="AF164" s="3"/>
      <c r="AG164" s="3"/>
      <c r="AJ164" s="3"/>
      <c r="AK164" s="3"/>
      <c r="AL164" s="3"/>
      <c r="AM164" s="3"/>
      <c r="AN164" s="3"/>
      <c r="AO164" s="3"/>
      <c r="AT164" s="513" t="str">
        <f>B164</f>
        <v>Magnum 12 Black</v>
      </c>
      <c r="AU164" s="513">
        <f>AE164</f>
        <v>1530.4660296046136</v>
      </c>
      <c r="AV164" s="513"/>
      <c r="AW164" s="514"/>
      <c r="AX164" s="513"/>
      <c r="AY164" s="513"/>
      <c r="BB164" s="170"/>
    </row>
    <row r="165" spans="1:54" s="117" customFormat="1" hidden="1">
      <c r="A165" s="171">
        <v>2</v>
      </c>
      <c r="B165" s="171" t="str">
        <f>E95</f>
        <v>SC Midlands KP White</v>
      </c>
      <c r="C165" s="171">
        <f>VLOOKUP(B165,AU$3:BB$33,3,FALSE)</f>
        <v>1200</v>
      </c>
      <c r="D165" s="171">
        <f>IF(B158,B172,IF(D158,D172,C165))</f>
        <v>1190.3373083384754</v>
      </c>
      <c r="E165" s="171"/>
      <c r="F165" s="171"/>
      <c r="G165" s="171">
        <f>IF(E158,E172,IF(G158,G172,D165))</f>
        <v>1207.6014825585389</v>
      </c>
      <c r="H165" s="171"/>
      <c r="I165" s="171"/>
      <c r="J165" s="171">
        <f>IF(H158,H172,IF(J158,J172,G165))</f>
        <v>1207.6014825585389</v>
      </c>
      <c r="K165" s="171"/>
      <c r="L165" s="171"/>
      <c r="M165" s="171">
        <f>IF(K158,K172,IF(M158,M172,J165))</f>
        <v>1207.6014825585389</v>
      </c>
      <c r="N165" s="171"/>
      <c r="O165" s="171"/>
      <c r="P165" s="171">
        <f>IF(N158,N172,IF(P158,P172,M165))</f>
        <v>1207.6014825585389</v>
      </c>
      <c r="Q165" s="171"/>
      <c r="R165" s="171"/>
      <c r="S165" s="171">
        <f>IF(Q158,Q172,IF(S158,S172,P165))</f>
        <v>1207.6014825585389</v>
      </c>
      <c r="T165" s="171"/>
      <c r="U165" s="171"/>
      <c r="V165" s="171">
        <f>IF(T158,T172,IF(V158,V172,S165))</f>
        <v>1207.6014825585389</v>
      </c>
      <c r="W165" s="171"/>
      <c r="X165" s="171"/>
      <c r="Y165" s="171">
        <f>IF(W158,W172,IF(Y158,Y172,V165))</f>
        <v>1207.6014825585389</v>
      </c>
      <c r="Z165" s="171"/>
      <c r="AA165" s="171"/>
      <c r="AB165" s="171">
        <f>IF(Z158,Z172,IF(AB158,AB172,Y165))</f>
        <v>1207.6014825585389</v>
      </c>
      <c r="AC165" s="171"/>
      <c r="AD165" s="171"/>
      <c r="AE165" s="171">
        <f>IF(AC158,AC172,IF(AE158,AE172,AB165))</f>
        <v>1207.6014825585389</v>
      </c>
      <c r="AF165" s="3"/>
      <c r="AG165" s="3"/>
      <c r="AJ165" s="3"/>
      <c r="AL165" s="3"/>
      <c r="AM165" s="3"/>
      <c r="AN165" s="3"/>
      <c r="AO165" s="3"/>
      <c r="AT165" s="513" t="str">
        <f>B165</f>
        <v>SC Midlands KP White</v>
      </c>
      <c r="AU165" s="513">
        <f>AE165</f>
        <v>1207.6014825585389</v>
      </c>
      <c r="AV165" s="513"/>
      <c r="AW165" s="514"/>
      <c r="AX165" s="513"/>
      <c r="AY165" s="513"/>
      <c r="BB165" s="170"/>
    </row>
    <row r="166" spans="1:54" s="117" customFormat="1" hidden="1">
      <c r="A166" s="171">
        <v>3</v>
      </c>
      <c r="B166" s="171" t="str">
        <f>E97</f>
        <v>Magnum 12 Red</v>
      </c>
      <c r="C166" s="171">
        <f>VLOOKUP(B166,AU$3:BB$33,3,FALSE)</f>
        <v>1400</v>
      </c>
      <c r="D166" s="171">
        <f>IF(B159,B172,IF(D159,D172,C166))</f>
        <v>1400</v>
      </c>
      <c r="E166" s="171"/>
      <c r="F166" s="171"/>
      <c r="G166" s="171">
        <f>IF(E159,E172,IF(G159,G172,D166))</f>
        <v>1382.7358257799365</v>
      </c>
      <c r="H166" s="171"/>
      <c r="I166" s="171"/>
      <c r="J166" s="171">
        <f>IF(H159,H172,IF(J159,J172,G166))</f>
        <v>1361.9324878368475</v>
      </c>
      <c r="K166" s="171"/>
      <c r="L166" s="171"/>
      <c r="M166" s="171">
        <f>IF(K159,K172,IF(M159,M172,J166))</f>
        <v>1361.9324878368475</v>
      </c>
      <c r="N166" s="171"/>
      <c r="O166" s="171"/>
      <c r="P166" s="171">
        <f>IF(N159,N172,IF(P159,P172,M166))</f>
        <v>1361.9324878368475</v>
      </c>
      <c r="Q166" s="171"/>
      <c r="R166" s="171"/>
      <c r="S166" s="171">
        <f>IF(Q159,Q172,IF(S159,S172,P166))</f>
        <v>1361.9324878368475</v>
      </c>
      <c r="T166" s="171"/>
      <c r="U166" s="171"/>
      <c r="V166" s="171">
        <f>IF(T159,T172,IF(V159,V172,S166))</f>
        <v>1361.9324878368475</v>
      </c>
      <c r="W166" s="171"/>
      <c r="X166" s="171"/>
      <c r="Y166" s="171">
        <f>IF(W159,W172,IF(Y159,Y172,V166))</f>
        <v>1361.9324878368475</v>
      </c>
      <c r="Z166" s="171"/>
      <c r="AA166" s="171"/>
      <c r="AB166" s="171">
        <f>IF(Z159,Z172,IF(AB159,AB172,Y166))</f>
        <v>1361.9324878368475</v>
      </c>
      <c r="AC166" s="171"/>
      <c r="AD166" s="171"/>
      <c r="AE166" s="171">
        <f>IF(AC159,AC172,IF(AE159,AE172,AB166))</f>
        <v>1361.9324878368475</v>
      </c>
      <c r="AF166" s="3"/>
      <c r="AG166" s="3"/>
      <c r="AJ166" s="3"/>
      <c r="AL166" s="3"/>
      <c r="AM166" s="3"/>
      <c r="AN166" s="3"/>
      <c r="AO166" s="3"/>
      <c r="AT166" s="513" t="str">
        <f>B166</f>
        <v>Magnum 12 Red</v>
      </c>
      <c r="AU166" s="513">
        <f>AE166</f>
        <v>1361.9324878368475</v>
      </c>
      <c r="AV166" s="513"/>
      <c r="AW166" s="514"/>
      <c r="AX166" s="513"/>
      <c r="AY166" s="513"/>
      <c r="BB166" s="170"/>
    </row>
    <row r="167" spans="1:54" s="117" customFormat="1" hidden="1">
      <c r="A167" s="171">
        <v>4</v>
      </c>
      <c r="B167" s="171" t="str">
        <f>E99</f>
        <v>Team 11</v>
      </c>
      <c r="C167" s="171">
        <f>VLOOKUP(B167,AU$3:BB$33,3,FALSE)</f>
        <v>2011</v>
      </c>
      <c r="D167" s="171">
        <f>IF(B160,B172,IF(D160,D172,C167))</f>
        <v>2011</v>
      </c>
      <c r="E167" s="171"/>
      <c r="F167" s="171"/>
      <c r="G167" s="171">
        <f>IF(E160,E172,IF(G160,G172,D167))</f>
        <v>2011</v>
      </c>
      <c r="H167" s="171"/>
      <c r="I167" s="171"/>
      <c r="J167" s="171">
        <f>IF(H160,H172,IF(J160,J172,G167))</f>
        <v>2011</v>
      </c>
      <c r="K167" s="171"/>
      <c r="L167" s="171"/>
      <c r="M167" s="171">
        <f>IF(K160,K172,IF(M160,M172,J167))</f>
        <v>2011</v>
      </c>
      <c r="N167" s="171"/>
      <c r="O167" s="171"/>
      <c r="P167" s="171">
        <f>IF(N160,N172,IF(P160,P172,M167))</f>
        <v>2011</v>
      </c>
      <c r="Q167" s="171"/>
      <c r="R167" s="171"/>
      <c r="S167" s="171">
        <f>IF(Q160,Q172,IF(S160,S172,P167))</f>
        <v>2011</v>
      </c>
      <c r="T167" s="171"/>
      <c r="U167" s="171"/>
      <c r="V167" s="171">
        <f>IF(T160,T172,IF(V160,V172,S167))</f>
        <v>2011</v>
      </c>
      <c r="W167" s="171"/>
      <c r="X167" s="171"/>
      <c r="Y167" s="171">
        <f>IF(W160,W172,IF(Y160,Y172,V167))</f>
        <v>2011</v>
      </c>
      <c r="Z167" s="171"/>
      <c r="AA167" s="171"/>
      <c r="AB167" s="171">
        <f>IF(Z160,Z172,IF(AB160,AB172,Y167))</f>
        <v>2011</v>
      </c>
      <c r="AC167" s="171"/>
      <c r="AD167" s="171"/>
      <c r="AE167" s="171">
        <f>IF(AC160,AC172,IF(AE160,AE172,AB167))</f>
        <v>2011</v>
      </c>
      <c r="AF167" s="3"/>
      <c r="AG167" s="3"/>
      <c r="AJ167" s="3"/>
      <c r="AL167" s="3"/>
      <c r="AM167" s="3"/>
      <c r="AN167" s="3"/>
      <c r="AO167" s="3"/>
      <c r="AT167" s="513" t="str">
        <f>B167</f>
        <v>Team 11</v>
      </c>
      <c r="AU167" s="513">
        <f>AE167</f>
        <v>2011</v>
      </c>
      <c r="AV167" s="513"/>
      <c r="AW167" s="514"/>
      <c r="AX167" s="513"/>
      <c r="AY167" s="513"/>
      <c r="BB167" s="170"/>
    </row>
    <row r="168" spans="1:54" s="117" customFormat="1" hidden="1">
      <c r="A168" s="171">
        <v>5</v>
      </c>
      <c r="B168" s="171">
        <f>E101</f>
        <v>0</v>
      </c>
      <c r="C168" s="171" t="e">
        <f>VLOOKUP(B168,AU$3:BB$33,3,FALSE)</f>
        <v>#N/A</v>
      </c>
      <c r="D168" s="171" t="e">
        <f>IF(B161,B172,IF(D161,D172,C168))</f>
        <v>#N/A</v>
      </c>
      <c r="E168" s="171"/>
      <c r="F168" s="171"/>
      <c r="G168" s="171" t="e">
        <f>IF(E161,E172,IF(G161,G172,D168))</f>
        <v>#N/A</v>
      </c>
      <c r="H168" s="171"/>
      <c r="I168" s="171"/>
      <c r="J168" s="171" t="e">
        <f>IF(H161,H172,IF(J161,J172,G168))</f>
        <v>#N/A</v>
      </c>
      <c r="K168" s="171"/>
      <c r="L168" s="171"/>
      <c r="M168" s="171" t="e">
        <f>IF(K161,K172,IF(M161,M172,J168))</f>
        <v>#N/A</v>
      </c>
      <c r="N168" s="171"/>
      <c r="O168" s="171"/>
      <c r="P168" s="171" t="e">
        <f>IF(N161,N172,IF(P161,P172,M168))</f>
        <v>#N/A</v>
      </c>
      <c r="Q168" s="171"/>
      <c r="R168" s="171"/>
      <c r="S168" s="171" t="e">
        <f>IF(Q161,Q172,IF(S161,S172,P168))</f>
        <v>#N/A</v>
      </c>
      <c r="T168" s="171"/>
      <c r="U168" s="171"/>
      <c r="V168" s="171" t="e">
        <f>IF(T161,T172,IF(V161,V172,S168))</f>
        <v>#N/A</v>
      </c>
      <c r="W168" s="171"/>
      <c r="X168" s="171"/>
      <c r="Y168" s="171" t="e">
        <f>IF(W161,W172,IF(Y161,Y172,V168))</f>
        <v>#N/A</v>
      </c>
      <c r="Z168" s="171"/>
      <c r="AA168" s="171"/>
      <c r="AB168" s="171" t="e">
        <f>IF(Z161,Z172,IF(AB161,AB172,Y168))</f>
        <v>#N/A</v>
      </c>
      <c r="AC168" s="171"/>
      <c r="AD168" s="171"/>
      <c r="AE168" s="171" t="e">
        <f>IF(AC161,AC172,IF(AE161,AE172,AB168))</f>
        <v>#N/A</v>
      </c>
      <c r="AF168" s="3"/>
      <c r="AG168" s="3"/>
      <c r="AJ168" s="3"/>
      <c r="AL168" s="3"/>
      <c r="AM168" s="3"/>
      <c r="AN168" s="3"/>
      <c r="AO168" s="3"/>
      <c r="AT168" s="513">
        <f>B168</f>
        <v>0</v>
      </c>
      <c r="AU168" s="513" t="e">
        <f>AE168</f>
        <v>#N/A</v>
      </c>
      <c r="AV168" s="513"/>
      <c r="AW168" s="514"/>
      <c r="AX168" s="513"/>
      <c r="AY168" s="513"/>
      <c r="BB168" s="170"/>
    </row>
    <row r="169" spans="1:54" s="117" customFormat="1" hidden="1">
      <c r="A169" s="171"/>
      <c r="B169" s="171"/>
      <c r="C169" s="171"/>
      <c r="D169" s="171"/>
      <c r="E169" s="171"/>
      <c r="F169" s="171"/>
      <c r="G169" s="171"/>
      <c r="H169" s="171"/>
      <c r="I169" s="171"/>
      <c r="J169" s="171"/>
      <c r="K169" s="171"/>
      <c r="L169" s="171"/>
      <c r="M169" s="171"/>
      <c r="N169" s="171"/>
      <c r="O169" s="171"/>
      <c r="P169" s="171"/>
      <c r="Q169" s="171"/>
      <c r="R169" s="171"/>
      <c r="S169" s="171"/>
      <c r="T169" s="171"/>
      <c r="U169" s="171"/>
      <c r="V169" s="171"/>
      <c r="W169" s="171"/>
      <c r="X169" s="171"/>
      <c r="Y169" s="171"/>
      <c r="Z169" s="171"/>
      <c r="AA169" s="171"/>
      <c r="AB169" s="171"/>
      <c r="AC169" s="171"/>
      <c r="AD169" s="171"/>
      <c r="AE169" s="171"/>
      <c r="AF169" s="3"/>
      <c r="AG169" s="3"/>
      <c r="AJ169" s="3"/>
      <c r="AL169" s="3"/>
      <c r="AM169" s="3"/>
      <c r="AN169" s="3"/>
      <c r="AO169" s="3"/>
      <c r="AT169" s="513"/>
      <c r="AU169" s="513"/>
      <c r="AV169" s="513"/>
      <c r="AW169" s="514"/>
      <c r="AX169" s="513"/>
      <c r="AY169" s="513"/>
      <c r="BB169" s="170"/>
    </row>
    <row r="170" spans="1:54" s="117" customFormat="1" hidden="1">
      <c r="A170" s="171" t="s">
        <v>225</v>
      </c>
      <c r="B170" s="171">
        <f>VLOOKUP(B109,$A164:$AE168,3,FALSE)</f>
        <v>1500</v>
      </c>
      <c r="C170" s="171">
        <v>1</v>
      </c>
      <c r="D170" s="171">
        <f>VLOOKUP(D109,$A164:$AE168,3,FALSE)</f>
        <v>1200</v>
      </c>
      <c r="E170" s="171">
        <f>VLOOKUP(E109,$A164:$AE168,4,FALSE)</f>
        <v>1190.3373083384754</v>
      </c>
      <c r="F170" s="171">
        <v>2</v>
      </c>
      <c r="G170" s="171">
        <f>VLOOKUP(G109,$A164:$AE168,4,FALSE)</f>
        <v>1400</v>
      </c>
      <c r="H170" s="171">
        <f>VLOOKUP(H109,$A164:$AE168,7,FALSE)</f>
        <v>1509.6626916615246</v>
      </c>
      <c r="I170" s="171">
        <v>3</v>
      </c>
      <c r="J170" s="171">
        <f>VLOOKUP(J109,$A164:$AE168,7,FALSE)</f>
        <v>1382.7358257799365</v>
      </c>
      <c r="K170" s="171" t="e">
        <f>VLOOKUP(K109,$A164:$AE168,10,FALSE)</f>
        <v>#N/A</v>
      </c>
      <c r="L170" s="171">
        <v>4</v>
      </c>
      <c r="M170" s="171" t="e">
        <f>VLOOKUP(M109,$A164:$AE168,10,FALSE)</f>
        <v>#N/A</v>
      </c>
      <c r="N170" s="171" t="e">
        <f>VLOOKUP(N109,$A164:$AE168,13,FALSE)</f>
        <v>#N/A</v>
      </c>
      <c r="O170" s="171">
        <v>5</v>
      </c>
      <c r="P170" s="171" t="e">
        <f>VLOOKUP(P109,$A164:$AE168,13,FALSE)</f>
        <v>#N/A</v>
      </c>
      <c r="Q170" s="171" t="e">
        <f>VLOOKUP(Q109,$A164:$AE168,16,FALSE)</f>
        <v>#N/A</v>
      </c>
      <c r="R170" s="171">
        <v>6</v>
      </c>
      <c r="S170" s="171" t="e">
        <f>VLOOKUP(S109,$A164:$AE168,16,FALSE)</f>
        <v>#N/A</v>
      </c>
      <c r="T170" s="171" t="e">
        <f>VLOOKUP(T109,$A164:$AE168,19,FALSE)</f>
        <v>#N/A</v>
      </c>
      <c r="U170" s="171">
        <v>7</v>
      </c>
      <c r="V170" s="171" t="e">
        <f>VLOOKUP(V109,$A164:$AE168,19,FALSE)</f>
        <v>#N/A</v>
      </c>
      <c r="W170" s="171" t="e">
        <f>VLOOKUP(W109,$A164:$AE168,22,FALSE)</f>
        <v>#N/A</v>
      </c>
      <c r="X170" s="171">
        <v>8</v>
      </c>
      <c r="Y170" s="171" t="e">
        <f>VLOOKUP(Y109,$A164:$AE168,22,FALSE)</f>
        <v>#N/A</v>
      </c>
      <c r="Z170" s="171" t="e">
        <f>VLOOKUP(Z109,$A164:$AE168,25,FALSE)</f>
        <v>#N/A</v>
      </c>
      <c r="AA170" s="171">
        <v>9</v>
      </c>
      <c r="AB170" s="171" t="e">
        <f>VLOOKUP(AB109,$A164:$AE168,25,FALSE)</f>
        <v>#N/A</v>
      </c>
      <c r="AC170" s="171" t="e">
        <f>VLOOKUP(AC109,$A164:$AE168,28,FALSE)</f>
        <v>#N/A</v>
      </c>
      <c r="AD170" s="171">
        <v>10</v>
      </c>
      <c r="AE170" s="171" t="e">
        <f>VLOOKUP(AE109,$A164:$AE168,28,FALSE)</f>
        <v>#N/A</v>
      </c>
      <c r="AF170" s="3"/>
      <c r="AG170" s="118"/>
      <c r="AH170" s="118"/>
      <c r="AI170" s="118"/>
      <c r="AJ170" s="118"/>
      <c r="AK170" s="118"/>
      <c r="AL170" s="118"/>
      <c r="AM170" s="118"/>
      <c r="AN170" s="119"/>
      <c r="AO170" s="119"/>
      <c r="AP170" s="119"/>
      <c r="AQ170" s="119"/>
      <c r="AT170" s="513"/>
      <c r="AU170" s="513"/>
      <c r="AV170" s="513"/>
      <c r="AW170" s="514"/>
      <c r="AX170" s="513"/>
      <c r="AY170" s="513"/>
      <c r="BB170" s="170"/>
    </row>
    <row r="171" spans="1:54" s="176" customFormat="1" hidden="1">
      <c r="A171" s="172" t="s">
        <v>226</v>
      </c>
      <c r="B171" s="172">
        <f>1/(1+(10^-((B170-D170)/400)))*(B121+D121)</f>
        <v>1.6980408855773534</v>
      </c>
      <c r="C171" s="172"/>
      <c r="D171" s="172">
        <f>1/(1+(10^-((D170-B170)/400)))*(B121+D121)</f>
        <v>0.30195911442264656</v>
      </c>
      <c r="E171" s="172">
        <f>1/(1+(10^-((E170-G170)/400)))*(E121+G121)</f>
        <v>0.4604945556230155</v>
      </c>
      <c r="F171" s="172"/>
      <c r="G171" s="172">
        <f>1/(1+(10^-((G170-E170)/400)))*(E121+G121)</f>
        <v>1.5395054443769844</v>
      </c>
      <c r="H171" s="172">
        <f>1/(1+(10^-((H170-J170)/400)))*(H121+J121)</f>
        <v>1.3498956892784721</v>
      </c>
      <c r="I171" s="172"/>
      <c r="J171" s="172">
        <f>1/(1+(10^-((J170-H170)/400)))*(H121+J121)</f>
        <v>0.65010431072152808</v>
      </c>
      <c r="K171" s="172" t="e">
        <f>1/(1+(10^-((K170-M170)/400)))*(K121+M121)</f>
        <v>#N/A</v>
      </c>
      <c r="L171" s="172"/>
      <c r="M171" s="172" t="e">
        <f>1/(1+(10^-((M170-K170)/400)))*(K121+M121)</f>
        <v>#N/A</v>
      </c>
      <c r="N171" s="172" t="e">
        <f>1/(1+(10^-((N170-P170)/400)))*(N121+P121)</f>
        <v>#N/A</v>
      </c>
      <c r="O171" s="172"/>
      <c r="P171" s="172" t="e">
        <f>1/(1+(10^-((P170-N170)/400)))*(N121+P121)</f>
        <v>#N/A</v>
      </c>
      <c r="Q171" s="172" t="e">
        <f>1/(1+(10^-((Q170-S170)/400)))*(Q121+S121)</f>
        <v>#N/A</v>
      </c>
      <c r="R171" s="172"/>
      <c r="S171" s="172" t="e">
        <f>1/(1+(10^-((S170-Q170)/400)))*(Q121+S121)</f>
        <v>#N/A</v>
      </c>
      <c r="T171" s="172" t="e">
        <f>1/(1+(10^-((T170-V170)/400)))*(T121+V121)</f>
        <v>#N/A</v>
      </c>
      <c r="U171" s="172"/>
      <c r="V171" s="172" t="e">
        <f>1/(1+(10^-((V170-T170)/400)))*(T121+V121)</f>
        <v>#N/A</v>
      </c>
      <c r="W171" s="172" t="e">
        <f>1/(1+(10^-((W170-Y170)/400)))*(W121+Y121)</f>
        <v>#N/A</v>
      </c>
      <c r="X171" s="172"/>
      <c r="Y171" s="172" t="e">
        <f>1/(1+(10^-((Y170-W170)/400)))*(W121+Y121)</f>
        <v>#N/A</v>
      </c>
      <c r="Z171" s="172" t="e">
        <f>1/(1+(10^-((Z170-AB170)/400)))*(Z121+AB121)</f>
        <v>#N/A</v>
      </c>
      <c r="AA171" s="172"/>
      <c r="AB171" s="172" t="e">
        <f>1/(1+(10^-((AB170-Z170)/400)))*(Z121+AB121)</f>
        <v>#N/A</v>
      </c>
      <c r="AC171" s="172" t="e">
        <f>1/(1+(10^-((AC170-AE170)/400)))*(AC121+AE121)</f>
        <v>#N/A</v>
      </c>
      <c r="AD171" s="172"/>
      <c r="AE171" s="172" t="e">
        <f>1/(1+(10^-((AE170-AC170)/400)))*(AC121+AE121)</f>
        <v>#N/A</v>
      </c>
      <c r="AF171" s="173"/>
      <c r="AG171" s="174"/>
      <c r="AH171" s="174"/>
      <c r="AI171" s="174"/>
      <c r="AJ171" s="174"/>
      <c r="AK171" s="174"/>
      <c r="AL171" s="174"/>
      <c r="AM171" s="174"/>
      <c r="AN171" s="175"/>
      <c r="AO171" s="175"/>
      <c r="AP171" s="175"/>
      <c r="AQ171" s="175"/>
      <c r="AT171" s="516"/>
      <c r="AU171" s="516"/>
      <c r="AV171" s="516"/>
      <c r="AW171" s="517"/>
      <c r="AX171" s="516"/>
      <c r="AY171" s="516"/>
      <c r="BB171" s="177"/>
    </row>
    <row r="172" spans="1:54" s="182" customFormat="1" hidden="1">
      <c r="A172" s="178" t="s">
        <v>227</v>
      </c>
      <c r="B172" s="178">
        <f>B170+(B121-B171)*$BA$1</f>
        <v>1509.6626916615246</v>
      </c>
      <c r="C172" s="178"/>
      <c r="D172" s="178">
        <f>D170+(D121-D171)*$BA$1</f>
        <v>1190.3373083384754</v>
      </c>
      <c r="E172" s="178">
        <f>E170+(E121-E171)*$BA$1</f>
        <v>1207.6014825585389</v>
      </c>
      <c r="F172" s="178"/>
      <c r="G172" s="178">
        <f>G170+(G121-G171)*$BA$1</f>
        <v>1382.7358257799365</v>
      </c>
      <c r="H172" s="178">
        <f>H170+(H121-H171)*$BA$1</f>
        <v>1530.4660296046136</v>
      </c>
      <c r="I172" s="178"/>
      <c r="J172" s="178">
        <f>J170+(J121-J171)*$BA$1</f>
        <v>1361.9324878368475</v>
      </c>
      <c r="K172" s="178" t="e">
        <f>K170+(K121-K171)*$BA$1</f>
        <v>#N/A</v>
      </c>
      <c r="L172" s="178"/>
      <c r="M172" s="178" t="e">
        <f>M170+(M121-M171)*$BA$1</f>
        <v>#N/A</v>
      </c>
      <c r="N172" s="178" t="e">
        <f>N170+(N121-N171)*$BA$1</f>
        <v>#N/A</v>
      </c>
      <c r="O172" s="178"/>
      <c r="P172" s="178" t="e">
        <f>P170+(P121-P171)*$BA$1</f>
        <v>#N/A</v>
      </c>
      <c r="Q172" s="178" t="e">
        <f>Q170+(Q121-Q171)*$BA$1</f>
        <v>#N/A</v>
      </c>
      <c r="R172" s="178"/>
      <c r="S172" s="178" t="e">
        <f>S170+(S121-S171)*$BA$1</f>
        <v>#N/A</v>
      </c>
      <c r="T172" s="178" t="e">
        <f>T170+(T121-T171)*$BA$1</f>
        <v>#N/A</v>
      </c>
      <c r="U172" s="178"/>
      <c r="V172" s="178" t="e">
        <f>V170+(V121-V171)*$BA$1</f>
        <v>#N/A</v>
      </c>
      <c r="W172" s="178" t="e">
        <f>W170+(W121-W171)*$BA$1</f>
        <v>#N/A</v>
      </c>
      <c r="X172" s="178"/>
      <c r="Y172" s="178" t="e">
        <f>Y170+(Y121-Y171)*$BA$1</f>
        <v>#N/A</v>
      </c>
      <c r="Z172" s="178" t="e">
        <f>Z170+(Z121-Z171)*$BA$1</f>
        <v>#N/A</v>
      </c>
      <c r="AA172" s="178"/>
      <c r="AB172" s="178" t="e">
        <f>AB170+(AB121-AB171)*$BA$1</f>
        <v>#N/A</v>
      </c>
      <c r="AC172" s="178" t="e">
        <f>AC170+(AC121-AC171)*$BA$1</f>
        <v>#N/A</v>
      </c>
      <c r="AD172" s="178"/>
      <c r="AE172" s="178" t="e">
        <f>AE170+(AE121-AE171)*$BA$1</f>
        <v>#N/A</v>
      </c>
      <c r="AF172" s="179"/>
      <c r="AG172" s="180"/>
      <c r="AH172" s="180"/>
      <c r="AI172" s="180"/>
      <c r="AJ172" s="180"/>
      <c r="AK172" s="180"/>
      <c r="AL172" s="180"/>
      <c r="AM172" s="180"/>
      <c r="AN172" s="181"/>
      <c r="AO172" s="181"/>
      <c r="AP172" s="181"/>
      <c r="AQ172" s="181"/>
      <c r="AT172" s="518"/>
      <c r="AU172" s="518"/>
      <c r="AV172" s="518"/>
      <c r="AW172" s="519"/>
      <c r="AX172" s="518"/>
      <c r="AY172" s="518"/>
      <c r="BB172" s="183"/>
    </row>
    <row r="173" spans="1:54" s="182" customFormat="1" hidden="1">
      <c r="A173" s="178"/>
      <c r="B173" s="178"/>
      <c r="C173" s="178"/>
      <c r="D173" s="178"/>
      <c r="E173" s="178"/>
      <c r="F173" s="178"/>
      <c r="G173" s="178"/>
      <c r="H173" s="178"/>
      <c r="I173" s="178"/>
      <c r="J173" s="178"/>
      <c r="K173" s="178"/>
      <c r="L173" s="178"/>
      <c r="M173" s="178"/>
      <c r="N173" s="178"/>
      <c r="O173" s="178"/>
      <c r="P173" s="178"/>
      <c r="Q173" s="178"/>
      <c r="R173" s="178"/>
      <c r="S173" s="178"/>
      <c r="T173" s="178"/>
      <c r="U173" s="178"/>
      <c r="V173" s="178"/>
      <c r="W173" s="178"/>
      <c r="X173" s="178"/>
      <c r="Y173" s="178"/>
      <c r="Z173" s="178"/>
      <c r="AA173" s="178"/>
      <c r="AB173" s="178"/>
      <c r="AC173" s="178"/>
      <c r="AD173" s="178"/>
      <c r="AE173" s="178"/>
      <c r="AF173" s="179"/>
      <c r="AG173" s="180"/>
      <c r="AH173" s="180"/>
      <c r="AI173" s="180"/>
      <c r="AJ173" s="180"/>
      <c r="AK173" s="180"/>
      <c r="AL173" s="180"/>
      <c r="AM173" s="180"/>
      <c r="AN173" s="181"/>
      <c r="AO173" s="181"/>
      <c r="AP173" s="181"/>
      <c r="AQ173" s="181"/>
      <c r="AT173" s="518"/>
      <c r="AU173" s="518"/>
      <c r="AV173" s="518"/>
      <c r="AW173" s="519"/>
      <c r="AX173" s="518"/>
      <c r="AY173" s="518"/>
      <c r="BB173" s="183"/>
    </row>
    <row r="174" spans="1:54" s="117" customFormat="1">
      <c r="A174" s="393" t="str">
        <f>IF($AK95=1,"Pool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Tiebreaker : 1) Games Won vs Lost (if 3 way tie then #5)  2) Head to Head  3) Head to Head Net Points  4) Game Win %  5) Total Pool Net Points  6) Flip a Coin</v>
      </c>
      <c r="B174" s="393"/>
      <c r="C174" s="393"/>
      <c r="D174" s="393"/>
      <c r="E174" s="393"/>
      <c r="F174" s="393"/>
      <c r="G174" s="393"/>
      <c r="H174" s="393"/>
      <c r="I174" s="393"/>
      <c r="J174" s="393"/>
      <c r="K174" s="393"/>
      <c r="L174" s="393"/>
      <c r="M174" s="393"/>
      <c r="N174" s="393"/>
      <c r="O174" s="393"/>
      <c r="P174" s="393"/>
      <c r="Q174" s="393"/>
      <c r="R174" s="393"/>
      <c r="S174" s="393"/>
      <c r="T174" s="393"/>
      <c r="U174" s="393"/>
      <c r="V174" s="393"/>
      <c r="W174" s="393"/>
      <c r="X174" s="393"/>
      <c r="Y174" s="393"/>
      <c r="Z174" s="393"/>
      <c r="AA174" s="393"/>
      <c r="AB174" s="393"/>
      <c r="AC174" s="393"/>
      <c r="AD174" s="393"/>
      <c r="AE174" s="393"/>
      <c r="AF174" s="393"/>
      <c r="AG174" s="393"/>
      <c r="AH174" s="393"/>
      <c r="AI174" s="393"/>
      <c r="AJ174" s="393"/>
      <c r="AK174" s="393"/>
      <c r="AL174" s="393"/>
      <c r="AM174" s="394"/>
      <c r="AN174" s="394"/>
      <c r="AO174" s="394"/>
      <c r="AP174" s="394"/>
      <c r="AT174" s="513"/>
      <c r="AU174" s="513"/>
      <c r="AV174" s="513"/>
      <c r="AW174" s="514"/>
      <c r="AX174" s="513"/>
      <c r="AY174" s="513"/>
    </row>
    <row r="175" spans="1:54" s="117" customFormat="1" ht="13.5" thickBot="1">
      <c r="A175" s="395"/>
      <c r="B175" s="395"/>
      <c r="C175" s="395"/>
      <c r="D175" s="395"/>
      <c r="E175" s="395"/>
      <c r="F175" s="395"/>
      <c r="G175" s="395"/>
      <c r="H175" s="395"/>
      <c r="I175" s="395"/>
      <c r="J175" s="395"/>
      <c r="K175" s="395"/>
      <c r="L175" s="395"/>
      <c r="M175" s="395"/>
      <c r="N175" s="395"/>
      <c r="O175" s="395"/>
      <c r="P175" s="395"/>
      <c r="Q175" s="395"/>
      <c r="R175" s="395"/>
      <c r="S175" s="395"/>
      <c r="T175" s="395"/>
      <c r="U175" s="395"/>
      <c r="V175" s="395"/>
      <c r="W175" s="395"/>
      <c r="X175" s="395"/>
      <c r="Y175" s="395"/>
      <c r="Z175" s="395"/>
      <c r="AA175" s="395"/>
      <c r="AB175" s="395"/>
      <c r="AC175" s="395"/>
      <c r="AD175" s="395"/>
      <c r="AE175" s="395"/>
      <c r="AF175" s="395"/>
      <c r="AG175" s="395"/>
      <c r="AH175" s="395"/>
      <c r="AI175" s="395"/>
      <c r="AJ175" s="395"/>
      <c r="AK175" s="395"/>
      <c r="AL175" s="395"/>
      <c r="AM175" s="395"/>
      <c r="AN175" s="395"/>
      <c r="AO175" s="395"/>
      <c r="AP175" s="395"/>
      <c r="AQ175" s="395"/>
      <c r="AT175" s="513"/>
      <c r="AU175" s="513"/>
      <c r="AV175" s="513"/>
      <c r="AW175" s="514"/>
      <c r="AX175" s="513"/>
      <c r="AY175" s="513"/>
    </row>
    <row r="176" spans="1:54" ht="24" customHeight="1" thickBot="1">
      <c r="A176" s="96" t="s">
        <v>16</v>
      </c>
      <c r="B176" s="150" t="s">
        <v>229</v>
      </c>
      <c r="C176" s="274" t="s">
        <v>188</v>
      </c>
      <c r="D176" s="275"/>
      <c r="E176" s="275"/>
      <c r="F176" s="275"/>
      <c r="G176" s="275"/>
      <c r="H176" s="276"/>
      <c r="I176" s="277">
        <v>3</v>
      </c>
      <c r="J176" s="278"/>
      <c r="K176" s="279" t="str">
        <f>"Pool "&amp;B176&amp;" - Round 1 - Court "&amp;I176</f>
        <v>Pool C1 - Round 1 - Court 3</v>
      </c>
      <c r="L176" s="280"/>
      <c r="M176" s="280"/>
      <c r="N176" s="280"/>
      <c r="O176" s="280"/>
      <c r="P176" s="280"/>
      <c r="Q176" s="280"/>
      <c r="R176" s="280"/>
      <c r="S176" s="280"/>
      <c r="T176" s="280"/>
      <c r="U176" s="280"/>
      <c r="V176" s="280"/>
      <c r="W176" s="280"/>
      <c r="X176" s="280"/>
      <c r="Y176" s="280"/>
      <c r="Z176" s="280"/>
      <c r="AA176" s="280"/>
      <c r="AB176" s="280"/>
      <c r="AC176" s="280"/>
      <c r="AD176" s="280"/>
      <c r="AE176" s="280"/>
      <c r="AF176" s="280"/>
      <c r="AG176" s="280"/>
      <c r="AH176" s="280"/>
      <c r="AI176" s="281"/>
      <c r="AJ176" s="1"/>
      <c r="AK176" s="1"/>
      <c r="AL176" s="1"/>
      <c r="AM176" s="1"/>
      <c r="AN176" s="1"/>
      <c r="AO176" s="1"/>
      <c r="AP176" s="1"/>
      <c r="AQ176" s="1"/>
    </row>
    <row r="177" spans="1:44" ht="27" customHeight="1" thickBot="1">
      <c r="A177" s="97" t="s">
        <v>17</v>
      </c>
      <c r="B177" s="282" t="s">
        <v>5</v>
      </c>
      <c r="C177" s="295"/>
      <c r="D177" s="295"/>
      <c r="E177" s="295"/>
      <c r="F177" s="295"/>
      <c r="G177" s="295"/>
      <c r="H177" s="295"/>
      <c r="I177" s="295"/>
      <c r="J177" s="295"/>
      <c r="K177" s="295"/>
      <c r="L177" s="282" t="str">
        <f>IF($AK180=0,"Games Won","Matches Won")</f>
        <v>Games Won</v>
      </c>
      <c r="M177" s="295"/>
      <c r="N177" s="295"/>
      <c r="O177" s="295"/>
      <c r="P177" s="295"/>
      <c r="Q177" s="296"/>
      <c r="R177" s="282" t="str">
        <f>IF($AK180=0,"Games Lost","Matches Lost")</f>
        <v>Games Lost</v>
      </c>
      <c r="S177" s="299"/>
      <c r="T177" s="299"/>
      <c r="U177" s="299"/>
      <c r="V177" s="300"/>
      <c r="W177" s="301" t="s">
        <v>18</v>
      </c>
      <c r="X177" s="302"/>
      <c r="Y177" s="303"/>
      <c r="Z177" s="301" t="s">
        <v>189</v>
      </c>
      <c r="AA177" s="302"/>
      <c r="AB177" s="303"/>
      <c r="AC177" s="312" t="s">
        <v>19</v>
      </c>
      <c r="AD177" s="313"/>
      <c r="AE177" s="314"/>
      <c r="AF177" s="98" t="s">
        <v>20</v>
      </c>
      <c r="AG177" s="151" t="s">
        <v>4</v>
      </c>
      <c r="AH177" s="315" t="s">
        <v>21</v>
      </c>
      <c r="AI177" s="316"/>
      <c r="AJ177" s="99"/>
      <c r="AK177" s="100">
        <v>2</v>
      </c>
      <c r="AL177" s="101" t="s">
        <v>22</v>
      </c>
      <c r="AM177" s="101"/>
      <c r="AN177" s="101"/>
      <c r="AO177" s="101"/>
      <c r="AP177" s="101"/>
      <c r="AQ177" s="101"/>
      <c r="AR177" s="102"/>
    </row>
    <row r="178" spans="1:44" ht="18.75" customHeight="1">
      <c r="A178" s="317" t="str">
        <f>IF($AK179&gt;0,"1","")</f>
        <v>1</v>
      </c>
      <c r="B178" s="319" t="s">
        <v>5</v>
      </c>
      <c r="C178" s="320"/>
      <c r="D178" s="321"/>
      <c r="E178" s="322" t="str">
        <f>AU5</f>
        <v>Magnum Aiken 12 Green</v>
      </c>
      <c r="F178" s="323"/>
      <c r="G178" s="323"/>
      <c r="H178" s="323"/>
      <c r="I178" s="323"/>
      <c r="J178" s="323"/>
      <c r="K178" s="324"/>
      <c r="L178" s="304">
        <f>IF($AK180=0,AF234,AF216)</f>
        <v>4</v>
      </c>
      <c r="M178" s="305"/>
      <c r="N178" s="305"/>
      <c r="O178" s="305"/>
      <c r="P178" s="305"/>
      <c r="Q178" s="297"/>
      <c r="R178" s="304">
        <f>IF($AK180=0,AG234,AG216)</f>
        <v>0</v>
      </c>
      <c r="S178" s="305"/>
      <c r="T178" s="305"/>
      <c r="U178" s="305"/>
      <c r="V178" s="305"/>
      <c r="W178" s="304">
        <f>AQ194</f>
        <v>26</v>
      </c>
      <c r="X178" s="305"/>
      <c r="Y178" s="305"/>
      <c r="Z178" s="308">
        <f>IF(AF228&gt;0,(AQ194/AF228),0)</f>
        <v>0.33766233766233766</v>
      </c>
      <c r="AA178" s="309"/>
      <c r="AB178" s="309"/>
      <c r="AC178" s="325">
        <f>IF(AF242=0,0,(AF234/AF242))</f>
        <v>1</v>
      </c>
      <c r="AD178" s="326"/>
      <c r="AE178" s="327"/>
      <c r="AF178" s="331">
        <v>1</v>
      </c>
      <c r="AG178" s="331">
        <v>1</v>
      </c>
      <c r="AH178" s="333"/>
      <c r="AI178" s="334"/>
      <c r="AJ178" s="99"/>
      <c r="AK178" s="100">
        <v>3</v>
      </c>
      <c r="AL178" s="101" t="s">
        <v>23</v>
      </c>
      <c r="AM178" s="101"/>
      <c r="AN178" s="101"/>
      <c r="AO178" s="101"/>
      <c r="AP178" s="101"/>
      <c r="AQ178" s="101"/>
      <c r="AR178" s="102"/>
    </row>
    <row r="179" spans="1:44" ht="18.75" customHeight="1" thickBot="1">
      <c r="A179" s="318"/>
      <c r="B179" s="337" t="s">
        <v>6</v>
      </c>
      <c r="C179" s="338"/>
      <c r="D179" s="339"/>
      <c r="E179" s="340" t="str">
        <f>AV5</f>
        <v>fj2magnm2pm</v>
      </c>
      <c r="F179" s="341"/>
      <c r="G179" s="341"/>
      <c r="H179" s="341"/>
      <c r="I179" s="341"/>
      <c r="J179" s="341"/>
      <c r="K179" s="341"/>
      <c r="L179" s="306"/>
      <c r="M179" s="307"/>
      <c r="N179" s="307"/>
      <c r="O179" s="307"/>
      <c r="P179" s="307"/>
      <c r="Q179" s="297"/>
      <c r="R179" s="306"/>
      <c r="S179" s="307"/>
      <c r="T179" s="307"/>
      <c r="U179" s="307"/>
      <c r="V179" s="307"/>
      <c r="W179" s="306"/>
      <c r="X179" s="307"/>
      <c r="Y179" s="307"/>
      <c r="Z179" s="310"/>
      <c r="AA179" s="311"/>
      <c r="AB179" s="311"/>
      <c r="AC179" s="328"/>
      <c r="AD179" s="329"/>
      <c r="AE179" s="330"/>
      <c r="AF179" s="332"/>
      <c r="AG179" s="332"/>
      <c r="AH179" s="335"/>
      <c r="AI179" s="336"/>
      <c r="AJ179" s="99"/>
      <c r="AK179" s="100">
        <v>3</v>
      </c>
      <c r="AL179" s="101" t="s">
        <v>190</v>
      </c>
      <c r="AM179" s="99"/>
      <c r="AN179" s="99"/>
      <c r="AO179" s="99"/>
      <c r="AP179" s="99"/>
      <c r="AQ179" s="99"/>
      <c r="AR179" s="46"/>
    </row>
    <row r="180" spans="1:44" ht="18.75" customHeight="1">
      <c r="A180" s="317" t="str">
        <f>IF($AK179&gt;1,"2","")</f>
        <v>2</v>
      </c>
      <c r="B180" s="319" t="s">
        <v>5</v>
      </c>
      <c r="C180" s="320"/>
      <c r="D180" s="321"/>
      <c r="E180" s="322" t="str">
        <f>AU6</f>
        <v>Excell U12 Devel</v>
      </c>
      <c r="F180" s="323"/>
      <c r="G180" s="323"/>
      <c r="H180" s="323"/>
      <c r="I180" s="323"/>
      <c r="J180" s="323"/>
      <c r="K180" s="324"/>
      <c r="L180" s="304">
        <f>IF($AK180=0,AF235,AF217)</f>
        <v>1</v>
      </c>
      <c r="M180" s="305"/>
      <c r="N180" s="305"/>
      <c r="O180" s="305"/>
      <c r="P180" s="305"/>
      <c r="Q180" s="297"/>
      <c r="R180" s="304">
        <f>IF($AK180=0,AG235,AG217)</f>
        <v>3</v>
      </c>
      <c r="S180" s="305"/>
      <c r="T180" s="305"/>
      <c r="U180" s="305"/>
      <c r="V180" s="305"/>
      <c r="W180" s="304">
        <f>AQ195</f>
        <v>-16</v>
      </c>
      <c r="X180" s="305"/>
      <c r="Y180" s="305"/>
      <c r="Z180" s="308">
        <f>IF(AF229&gt;0,(AQ195/AF229),0)</f>
        <v>-0.20512820512820512</v>
      </c>
      <c r="AA180" s="309"/>
      <c r="AB180" s="309"/>
      <c r="AC180" s="325">
        <f>IF(AF243=0,0,(AF235/AF243))</f>
        <v>0.25</v>
      </c>
      <c r="AD180" s="326"/>
      <c r="AE180" s="327"/>
      <c r="AF180" s="331">
        <v>2</v>
      </c>
      <c r="AG180" s="331">
        <v>3</v>
      </c>
      <c r="AH180" s="333"/>
      <c r="AI180" s="334"/>
      <c r="AJ180" s="99"/>
      <c r="AK180" s="100">
        <v>0</v>
      </c>
      <c r="AL180" s="101" t="s">
        <v>24</v>
      </c>
      <c r="AM180" s="101"/>
      <c r="AN180" s="101"/>
      <c r="AO180" s="101"/>
      <c r="AP180" s="101"/>
      <c r="AQ180" s="101"/>
      <c r="AR180" s="102"/>
    </row>
    <row r="181" spans="1:44" ht="18.75" customHeight="1" thickBot="1">
      <c r="A181" s="318"/>
      <c r="B181" s="342" t="s">
        <v>6</v>
      </c>
      <c r="C181" s="343"/>
      <c r="D181" s="343"/>
      <c r="E181" s="340" t="str">
        <f>AV6</f>
        <v>fj2191642pm</v>
      </c>
      <c r="F181" s="341"/>
      <c r="G181" s="341"/>
      <c r="H181" s="341"/>
      <c r="I181" s="341"/>
      <c r="J181" s="341"/>
      <c r="K181" s="341"/>
      <c r="L181" s="306"/>
      <c r="M181" s="307"/>
      <c r="N181" s="307"/>
      <c r="O181" s="307"/>
      <c r="P181" s="307"/>
      <c r="Q181" s="297"/>
      <c r="R181" s="306"/>
      <c r="S181" s="307"/>
      <c r="T181" s="307"/>
      <c r="U181" s="307"/>
      <c r="V181" s="307"/>
      <c r="W181" s="306"/>
      <c r="X181" s="307"/>
      <c r="Y181" s="307"/>
      <c r="Z181" s="310"/>
      <c r="AA181" s="311"/>
      <c r="AB181" s="311"/>
      <c r="AC181" s="328"/>
      <c r="AD181" s="329"/>
      <c r="AE181" s="330"/>
      <c r="AF181" s="332"/>
      <c r="AG181" s="332"/>
      <c r="AH181" s="335"/>
      <c r="AI181" s="336"/>
      <c r="AJ181" s="99"/>
      <c r="AK181" s="100">
        <v>1</v>
      </c>
      <c r="AL181" s="101" t="s">
        <v>25</v>
      </c>
      <c r="AM181" s="99"/>
      <c r="AN181" s="99"/>
      <c r="AO181" s="99"/>
      <c r="AP181" s="99"/>
      <c r="AQ181" s="99"/>
      <c r="AR181" s="46"/>
    </row>
    <row r="182" spans="1:44" ht="18.75" customHeight="1">
      <c r="A182" s="317" t="str">
        <f>IF($AK179&gt;2,"3","")</f>
        <v>3</v>
      </c>
      <c r="B182" s="344" t="s">
        <v>5</v>
      </c>
      <c r="C182" s="345"/>
      <c r="D182" s="345"/>
      <c r="E182" s="322" t="str">
        <f>AU11</f>
        <v>Intense Kids power Gvl</v>
      </c>
      <c r="F182" s="323"/>
      <c r="G182" s="323"/>
      <c r="H182" s="323"/>
      <c r="I182" s="323"/>
      <c r="J182" s="323"/>
      <c r="K182" s="324"/>
      <c r="L182" s="304">
        <f>IF($AK180=0,AF236,AF218)</f>
        <v>1</v>
      </c>
      <c r="M182" s="305"/>
      <c r="N182" s="305"/>
      <c r="O182" s="305"/>
      <c r="P182" s="305"/>
      <c r="Q182" s="297"/>
      <c r="R182" s="304">
        <f>IF($AK180=0,AG236,AG218)</f>
        <v>3</v>
      </c>
      <c r="S182" s="305"/>
      <c r="T182" s="305"/>
      <c r="U182" s="305"/>
      <c r="V182" s="305"/>
      <c r="W182" s="304">
        <f>AQ196</f>
        <v>-10</v>
      </c>
      <c r="X182" s="305"/>
      <c r="Y182" s="305"/>
      <c r="Z182" s="308">
        <f>IF(AF230&gt;0,(AQ196/AF230),0)</f>
        <v>-0.13333333333333333</v>
      </c>
      <c r="AA182" s="309"/>
      <c r="AB182" s="309"/>
      <c r="AC182" s="325">
        <f>IF(AF244=0,0,(AF236/AF244))</f>
        <v>0.25</v>
      </c>
      <c r="AD182" s="326"/>
      <c r="AE182" s="327"/>
      <c r="AF182" s="331">
        <v>3</v>
      </c>
      <c r="AG182" s="331">
        <v>3</v>
      </c>
      <c r="AH182" s="333"/>
      <c r="AI182" s="334"/>
      <c r="AJ182" s="103"/>
      <c r="AK182" s="100">
        <v>4</v>
      </c>
      <c r="AL182" s="152" t="s">
        <v>191</v>
      </c>
      <c r="AM182" s="101"/>
      <c r="AN182" s="101"/>
      <c r="AO182" s="101"/>
      <c r="AP182" s="101"/>
      <c r="AQ182" s="101"/>
      <c r="AR182" s="102"/>
    </row>
    <row r="183" spans="1:44" ht="18.75" customHeight="1" thickBot="1">
      <c r="A183" s="318"/>
      <c r="B183" s="342" t="s">
        <v>6</v>
      </c>
      <c r="C183" s="343"/>
      <c r="D183" s="343"/>
      <c r="E183" s="340" t="str">
        <f>AV11</f>
        <v>fj2inten2pm</v>
      </c>
      <c r="F183" s="341"/>
      <c r="G183" s="341"/>
      <c r="H183" s="341"/>
      <c r="I183" s="341"/>
      <c r="J183" s="341"/>
      <c r="K183" s="341"/>
      <c r="L183" s="306"/>
      <c r="M183" s="307"/>
      <c r="N183" s="307"/>
      <c r="O183" s="307"/>
      <c r="P183" s="307"/>
      <c r="Q183" s="297"/>
      <c r="R183" s="306"/>
      <c r="S183" s="307"/>
      <c r="T183" s="307"/>
      <c r="U183" s="307"/>
      <c r="V183" s="307"/>
      <c r="W183" s="306"/>
      <c r="X183" s="307"/>
      <c r="Y183" s="307"/>
      <c r="Z183" s="310"/>
      <c r="AA183" s="311"/>
      <c r="AB183" s="311"/>
      <c r="AC183" s="328"/>
      <c r="AD183" s="329"/>
      <c r="AE183" s="330"/>
      <c r="AF183" s="332"/>
      <c r="AG183" s="332"/>
      <c r="AH183" s="335"/>
      <c r="AI183" s="336"/>
      <c r="AJ183" s="103"/>
      <c r="AK183" s="153"/>
      <c r="AL183" s="154"/>
      <c r="AM183" s="154"/>
      <c r="AN183" s="154"/>
      <c r="AO183" s="154"/>
      <c r="AP183" s="154"/>
      <c r="AQ183" s="99"/>
      <c r="AR183" s="46"/>
    </row>
    <row r="184" spans="1:44" ht="18.75" hidden="1" customHeight="1">
      <c r="A184" s="317" t="str">
        <f>IF($AK179&gt;3,"4","")</f>
        <v/>
      </c>
      <c r="B184" s="344" t="s">
        <v>5</v>
      </c>
      <c r="C184" s="345"/>
      <c r="D184" s="345"/>
      <c r="E184" s="322" t="str">
        <f>AU12</f>
        <v>Team 10</v>
      </c>
      <c r="F184" s="323"/>
      <c r="G184" s="323"/>
      <c r="H184" s="323"/>
      <c r="I184" s="323"/>
      <c r="J184" s="323"/>
      <c r="K184" s="324"/>
      <c r="L184" s="304">
        <f>IF($AK180=0,AF237,AF219)</f>
        <v>0</v>
      </c>
      <c r="M184" s="305"/>
      <c r="N184" s="305"/>
      <c r="O184" s="305"/>
      <c r="P184" s="305"/>
      <c r="Q184" s="297"/>
      <c r="R184" s="304">
        <f>IF($AK180=0,AG237,AG219)</f>
        <v>0</v>
      </c>
      <c r="S184" s="305"/>
      <c r="T184" s="305"/>
      <c r="U184" s="305"/>
      <c r="V184" s="305"/>
      <c r="W184" s="304">
        <f>AQ197</f>
        <v>0</v>
      </c>
      <c r="X184" s="305"/>
      <c r="Y184" s="305"/>
      <c r="Z184" s="308">
        <f>IF(AF231&gt;0,(AQ197/AF231),0)</f>
        <v>0</v>
      </c>
      <c r="AA184" s="309"/>
      <c r="AB184" s="309"/>
      <c r="AC184" s="325">
        <f>IF(AF245=0,0,(AF237/AF245))</f>
        <v>0</v>
      </c>
      <c r="AD184" s="326"/>
      <c r="AE184" s="327"/>
      <c r="AF184" s="331"/>
      <c r="AG184" s="331"/>
      <c r="AH184" s="333"/>
      <c r="AI184" s="334"/>
      <c r="AJ184" s="1"/>
      <c r="AK184" s="154"/>
      <c r="AL184" s="154"/>
      <c r="AM184" s="154"/>
      <c r="AN184" s="154"/>
      <c r="AO184" s="154"/>
      <c r="AP184" s="154"/>
      <c r="AQ184" s="101"/>
      <c r="AR184" s="102"/>
    </row>
    <row r="185" spans="1:44" ht="18.75" hidden="1" customHeight="1" thickBot="1">
      <c r="A185" s="318"/>
      <c r="B185" s="342" t="s">
        <v>6</v>
      </c>
      <c r="C185" s="343"/>
      <c r="D185" s="343"/>
      <c r="E185" s="340" t="str">
        <f>AV12</f>
        <v>Code 10</v>
      </c>
      <c r="F185" s="341"/>
      <c r="G185" s="341"/>
      <c r="H185" s="341"/>
      <c r="I185" s="341"/>
      <c r="J185" s="341"/>
      <c r="K185" s="341"/>
      <c r="L185" s="306"/>
      <c r="M185" s="307"/>
      <c r="N185" s="307"/>
      <c r="O185" s="307"/>
      <c r="P185" s="307"/>
      <c r="Q185" s="297"/>
      <c r="R185" s="306"/>
      <c r="S185" s="307"/>
      <c r="T185" s="307"/>
      <c r="U185" s="307"/>
      <c r="V185" s="307"/>
      <c r="W185" s="306"/>
      <c r="X185" s="307"/>
      <c r="Y185" s="307"/>
      <c r="Z185" s="310"/>
      <c r="AA185" s="311"/>
      <c r="AB185" s="311"/>
      <c r="AC185" s="328"/>
      <c r="AD185" s="329"/>
      <c r="AE185" s="330"/>
      <c r="AF185" s="332"/>
      <c r="AG185" s="332"/>
      <c r="AH185" s="335"/>
      <c r="AI185" s="336"/>
      <c r="AJ185" s="1"/>
      <c r="AK185" s="154"/>
      <c r="AL185" s="154"/>
      <c r="AM185" s="154"/>
      <c r="AN185" s="154"/>
      <c r="AO185" s="154"/>
      <c r="AP185" s="154"/>
      <c r="AQ185" s="1"/>
      <c r="AR185" s="46"/>
    </row>
    <row r="186" spans="1:44" ht="18.75" hidden="1" customHeight="1">
      <c r="A186" s="317" t="str">
        <f>IF($AK179&gt;4,"5","")</f>
        <v/>
      </c>
      <c r="B186" s="344" t="s">
        <v>5</v>
      </c>
      <c r="C186" s="345"/>
      <c r="D186" s="345"/>
      <c r="E186" s="346">
        <f>AU17</f>
        <v>0</v>
      </c>
      <c r="F186" s="347"/>
      <c r="G186" s="347"/>
      <c r="H186" s="347"/>
      <c r="I186" s="347"/>
      <c r="J186" s="347"/>
      <c r="K186" s="348"/>
      <c r="L186" s="304">
        <f>IF($AK180=0,AF238,AF220)</f>
        <v>0</v>
      </c>
      <c r="M186" s="305"/>
      <c r="N186" s="305"/>
      <c r="O186" s="305"/>
      <c r="P186" s="305"/>
      <c r="Q186" s="297"/>
      <c r="R186" s="304">
        <f>IF($AK180=0,AG238,AG220)</f>
        <v>0</v>
      </c>
      <c r="S186" s="305"/>
      <c r="T186" s="305"/>
      <c r="U186" s="305"/>
      <c r="V186" s="305"/>
      <c r="W186" s="304">
        <f>AQ198</f>
        <v>0</v>
      </c>
      <c r="X186" s="305"/>
      <c r="Y186" s="305"/>
      <c r="Z186" s="308">
        <f>IF(AF232&gt;0,(AQ198/AF232),0)</f>
        <v>0</v>
      </c>
      <c r="AA186" s="309"/>
      <c r="AB186" s="309"/>
      <c r="AC186" s="325">
        <f>IF(AF246=0,0,(AF238/AF246))</f>
        <v>0</v>
      </c>
      <c r="AD186" s="326"/>
      <c r="AE186" s="327"/>
      <c r="AF186" s="331"/>
      <c r="AG186" s="331"/>
      <c r="AH186" s="333"/>
      <c r="AI186" s="334"/>
      <c r="AJ186" s="1"/>
      <c r="AK186" s="154"/>
      <c r="AL186" s="154"/>
      <c r="AM186" s="154"/>
      <c r="AN186" s="154"/>
      <c r="AO186" s="154"/>
      <c r="AP186" s="154"/>
      <c r="AQ186" s="1"/>
      <c r="AR186" s="46"/>
    </row>
    <row r="187" spans="1:44" ht="18.75" hidden="1" customHeight="1" thickBot="1">
      <c r="A187" s="318"/>
      <c r="B187" s="359" t="s">
        <v>6</v>
      </c>
      <c r="C187" s="360"/>
      <c r="D187" s="360"/>
      <c r="E187" s="361">
        <f>AV17</f>
        <v>0</v>
      </c>
      <c r="F187" s="362"/>
      <c r="G187" s="362"/>
      <c r="H187" s="362"/>
      <c r="I187" s="362"/>
      <c r="J187" s="362"/>
      <c r="K187" s="362"/>
      <c r="L187" s="349"/>
      <c r="M187" s="350"/>
      <c r="N187" s="350"/>
      <c r="O187" s="350"/>
      <c r="P187" s="350"/>
      <c r="Q187" s="298"/>
      <c r="R187" s="349"/>
      <c r="S187" s="350"/>
      <c r="T187" s="350"/>
      <c r="U187" s="350"/>
      <c r="V187" s="350"/>
      <c r="W187" s="349"/>
      <c r="X187" s="350"/>
      <c r="Y187" s="350"/>
      <c r="Z187" s="351"/>
      <c r="AA187" s="352"/>
      <c r="AB187" s="352"/>
      <c r="AC187" s="353"/>
      <c r="AD187" s="354"/>
      <c r="AE187" s="355"/>
      <c r="AF187" s="356"/>
      <c r="AG187" s="356"/>
      <c r="AH187" s="357"/>
      <c r="AI187" s="358"/>
      <c r="AJ187" s="1"/>
      <c r="AK187" s="154"/>
      <c r="AL187" s="154"/>
      <c r="AM187" s="154"/>
      <c r="AN187" s="154"/>
      <c r="AO187" s="154"/>
      <c r="AP187" s="154"/>
      <c r="AQ187" s="1"/>
      <c r="AR187" s="46"/>
    </row>
    <row r="188" spans="1:44" ht="21" customHeight="1" thickTop="1" thickBot="1">
      <c r="A188" s="106"/>
      <c r="B188" s="363" t="s">
        <v>198</v>
      </c>
      <c r="C188" s="364"/>
      <c r="D188" s="364"/>
      <c r="E188" s="364"/>
      <c r="F188" s="364"/>
      <c r="G188" s="364"/>
      <c r="H188" s="364"/>
      <c r="I188" s="364"/>
      <c r="J188" s="364"/>
      <c r="K188" s="364"/>
      <c r="L188" s="364"/>
      <c r="M188" s="364"/>
      <c r="N188" s="364"/>
      <c r="O188" s="364"/>
      <c r="P188" s="364"/>
      <c r="Q188" s="364"/>
      <c r="R188" s="364"/>
      <c r="S188" s="364"/>
      <c r="T188" s="364"/>
      <c r="U188" s="364"/>
      <c r="V188" s="364"/>
      <c r="W188" s="364"/>
      <c r="X188" s="364"/>
      <c r="Y188" s="364"/>
      <c r="Z188" s="364"/>
      <c r="AA188" s="364"/>
      <c r="AB188" s="364"/>
      <c r="AC188" s="364"/>
      <c r="AD188" s="364"/>
      <c r="AE188" s="364"/>
      <c r="AF188" s="364"/>
      <c r="AG188" s="364"/>
      <c r="AH188" s="364"/>
      <c r="AI188" s="365"/>
      <c r="AJ188" s="1"/>
      <c r="AK188" s="154"/>
      <c r="AL188" s="154"/>
      <c r="AM188" s="154"/>
      <c r="AN188" s="154"/>
      <c r="AO188" s="154"/>
      <c r="AP188" s="154"/>
      <c r="AQ188" s="1"/>
      <c r="AR188" s="46"/>
    </row>
    <row r="189" spans="1:44" ht="13.5" thickTop="1">
      <c r="A189" s="3" t="s">
        <v>27</v>
      </c>
      <c r="B189" s="372">
        <v>0.35416666666666669</v>
      </c>
      <c r="C189" s="373"/>
      <c r="D189" s="374"/>
      <c r="E189" s="372">
        <v>0.375</v>
      </c>
      <c r="F189" s="373"/>
      <c r="G189" s="374"/>
      <c r="H189" s="372">
        <v>0.39583333333333331</v>
      </c>
      <c r="I189" s="373"/>
      <c r="J189" s="374"/>
      <c r="K189" s="372">
        <v>0.47916666666666669</v>
      </c>
      <c r="L189" s="373"/>
      <c r="M189" s="374"/>
      <c r="N189" s="372">
        <v>0.52083333333333337</v>
      </c>
      <c r="O189" s="373"/>
      <c r="P189" s="374"/>
      <c r="Q189" s="372">
        <v>6.25E-2</v>
      </c>
      <c r="R189" s="373"/>
      <c r="S189" s="374"/>
      <c r="T189" s="372">
        <v>4.1666666666666664E-2</v>
      </c>
      <c r="U189" s="373"/>
      <c r="V189" s="374"/>
      <c r="W189" s="372">
        <v>7.2916666666666671E-2</v>
      </c>
      <c r="X189" s="373"/>
      <c r="Y189" s="374"/>
      <c r="Z189" s="372">
        <v>0.10416666666666667</v>
      </c>
      <c r="AA189" s="373"/>
      <c r="AB189" s="374"/>
      <c r="AC189" s="372">
        <v>0.13541666666666666</v>
      </c>
      <c r="AD189" s="373"/>
      <c r="AE189" s="374"/>
      <c r="AF189" s="375" t="s">
        <v>199</v>
      </c>
      <c r="AG189" s="376"/>
      <c r="AH189" s="376"/>
      <c r="AI189" s="376"/>
      <c r="AJ189" s="377"/>
      <c r="AK189" s="377"/>
      <c r="AL189" s="377"/>
      <c r="AM189" s="377"/>
      <c r="AN189" s="377"/>
      <c r="AO189" s="377"/>
      <c r="AP189" s="377"/>
      <c r="AQ189" s="378"/>
    </row>
    <row r="190" spans="1:44">
      <c r="A190" s="107" t="s">
        <v>28</v>
      </c>
      <c r="B190" s="383"/>
      <c r="C190" s="384"/>
      <c r="D190" s="385"/>
      <c r="E190" s="383"/>
      <c r="F190" s="384"/>
      <c r="G190" s="385"/>
      <c r="H190" s="383"/>
      <c r="I190" s="384"/>
      <c r="J190" s="385"/>
      <c r="K190" s="383"/>
      <c r="L190" s="384"/>
      <c r="M190" s="385"/>
      <c r="N190" s="383"/>
      <c r="O190" s="384"/>
      <c r="P190" s="385"/>
      <c r="Q190" s="383"/>
      <c r="R190" s="384"/>
      <c r="S190" s="385"/>
      <c r="T190" s="383"/>
      <c r="U190" s="384"/>
      <c r="V190" s="385"/>
      <c r="W190" s="383"/>
      <c r="X190" s="384"/>
      <c r="Y190" s="385"/>
      <c r="Z190" s="383"/>
      <c r="AA190" s="384"/>
      <c r="AB190" s="385"/>
      <c r="AC190" s="383"/>
      <c r="AD190" s="384"/>
      <c r="AE190" s="385"/>
      <c r="AF190" s="375"/>
      <c r="AG190" s="376"/>
      <c r="AH190" s="376"/>
      <c r="AI190" s="376"/>
      <c r="AJ190" s="376"/>
      <c r="AK190" s="376"/>
      <c r="AL190" s="376"/>
      <c r="AM190" s="376"/>
      <c r="AN190" s="376"/>
      <c r="AO190" s="376"/>
      <c r="AP190" s="376"/>
      <c r="AQ190" s="379"/>
    </row>
    <row r="191" spans="1:44">
      <c r="A191" s="107" t="s">
        <v>29</v>
      </c>
      <c r="B191" s="383"/>
      <c r="C191" s="384"/>
      <c r="D191" s="385"/>
      <c r="E191" s="383"/>
      <c r="F191" s="384"/>
      <c r="G191" s="385"/>
      <c r="H191" s="383"/>
      <c r="I191" s="384"/>
      <c r="J191" s="385"/>
      <c r="K191" s="383"/>
      <c r="L191" s="384"/>
      <c r="M191" s="385"/>
      <c r="N191" s="383"/>
      <c r="O191" s="384"/>
      <c r="P191" s="385"/>
      <c r="Q191" s="383"/>
      <c r="R191" s="384"/>
      <c r="S191" s="385"/>
      <c r="T191" s="383"/>
      <c r="U191" s="384"/>
      <c r="V191" s="385"/>
      <c r="W191" s="383"/>
      <c r="X191" s="384"/>
      <c r="Y191" s="385"/>
      <c r="Z191" s="383"/>
      <c r="AA191" s="384"/>
      <c r="AB191" s="385"/>
      <c r="AC191" s="383"/>
      <c r="AD191" s="384"/>
      <c r="AE191" s="385"/>
      <c r="AF191" s="375"/>
      <c r="AG191" s="376"/>
      <c r="AH191" s="376"/>
      <c r="AI191" s="376"/>
      <c r="AJ191" s="376"/>
      <c r="AK191" s="376"/>
      <c r="AL191" s="376"/>
      <c r="AM191" s="376"/>
      <c r="AN191" s="376"/>
      <c r="AO191" s="376"/>
      <c r="AP191" s="376"/>
      <c r="AQ191" s="379"/>
    </row>
    <row r="192" spans="1:44" ht="13.5" thickBot="1">
      <c r="A192" s="1"/>
      <c r="B192" s="386" t="s">
        <v>30</v>
      </c>
      <c r="C192" s="387"/>
      <c r="D192" s="388"/>
      <c r="E192" s="386" t="str">
        <f>IF(AK178&gt;1,"Match 2","")</f>
        <v>Match 2</v>
      </c>
      <c r="F192" s="387"/>
      <c r="G192" s="388"/>
      <c r="H192" s="386" t="str">
        <f>IF(AK178&gt;2,"Match 3","")</f>
        <v>Match 3</v>
      </c>
      <c r="I192" s="387"/>
      <c r="J192" s="388"/>
      <c r="K192" s="386" t="str">
        <f>IF(AK178&gt;3,"Match 4","")</f>
        <v/>
      </c>
      <c r="L192" s="387"/>
      <c r="M192" s="388"/>
      <c r="N192" s="386" t="str">
        <f>IF(AK178&gt;4,"Match 5","")</f>
        <v/>
      </c>
      <c r="O192" s="387"/>
      <c r="P192" s="388"/>
      <c r="Q192" s="386" t="str">
        <f>IF(AK178&gt;5,"Match 6","")</f>
        <v/>
      </c>
      <c r="R192" s="387"/>
      <c r="S192" s="388"/>
      <c r="T192" s="386" t="str">
        <f>IF(AK178&gt;6,"Match 7","")</f>
        <v/>
      </c>
      <c r="U192" s="387"/>
      <c r="V192" s="388"/>
      <c r="W192" s="386" t="str">
        <f>IF(AK178&gt;7,"Match 8","")</f>
        <v/>
      </c>
      <c r="X192" s="387"/>
      <c r="Y192" s="388"/>
      <c r="Z192" s="386" t="str">
        <f>IF(AK178&gt;8,"Match 9","")</f>
        <v/>
      </c>
      <c r="AA192" s="387"/>
      <c r="AB192" s="388"/>
      <c r="AC192" s="386" t="str">
        <f>IF(AK178&gt;9,"Match 10","")</f>
        <v/>
      </c>
      <c r="AD192" s="387"/>
      <c r="AE192" s="388"/>
      <c r="AF192" s="380"/>
      <c r="AG192" s="381"/>
      <c r="AH192" s="381"/>
      <c r="AI192" s="381"/>
      <c r="AJ192" s="381"/>
      <c r="AK192" s="381"/>
      <c r="AL192" s="381"/>
      <c r="AM192" s="381"/>
      <c r="AN192" s="381"/>
      <c r="AO192" s="381"/>
      <c r="AP192" s="381"/>
      <c r="AQ192" s="382"/>
    </row>
    <row r="193" spans="1:51" ht="15.75">
      <c r="A193" s="1"/>
      <c r="B193" s="389" t="s">
        <v>33</v>
      </c>
      <c r="C193" s="390"/>
      <c r="D193" s="391"/>
      <c r="E193" s="389" t="s">
        <v>31</v>
      </c>
      <c r="F193" s="390"/>
      <c r="G193" s="391"/>
      <c r="H193" s="389" t="s">
        <v>32</v>
      </c>
      <c r="I193" s="390"/>
      <c r="J193" s="391"/>
      <c r="K193" s="389"/>
      <c r="L193" s="390"/>
      <c r="M193" s="391"/>
      <c r="N193" s="389"/>
      <c r="O193" s="390"/>
      <c r="P193" s="391"/>
      <c r="Q193" s="389"/>
      <c r="R193" s="390"/>
      <c r="S193" s="391"/>
      <c r="T193" s="389"/>
      <c r="U193" s="390"/>
      <c r="V193" s="391"/>
      <c r="W193" s="389"/>
      <c r="X193" s="390"/>
      <c r="Y193" s="391"/>
      <c r="Z193" s="389"/>
      <c r="AA193" s="390"/>
      <c r="AB193" s="391"/>
      <c r="AC193" s="389"/>
      <c r="AD193" s="390"/>
      <c r="AE193" s="391"/>
      <c r="AF193" s="160" t="s">
        <v>34</v>
      </c>
      <c r="AG193" s="108">
        <v>1</v>
      </c>
      <c r="AH193" s="108">
        <v>2</v>
      </c>
      <c r="AI193" s="108">
        <v>3</v>
      </c>
      <c r="AJ193" s="108">
        <v>4</v>
      </c>
      <c r="AK193" s="108">
        <v>5</v>
      </c>
      <c r="AL193" s="108">
        <v>6</v>
      </c>
      <c r="AM193" s="108">
        <v>7</v>
      </c>
      <c r="AN193" s="108">
        <v>8</v>
      </c>
      <c r="AO193" s="108">
        <v>9</v>
      </c>
      <c r="AP193" s="108">
        <v>10</v>
      </c>
      <c r="AQ193" s="161" t="s">
        <v>200</v>
      </c>
    </row>
    <row r="194" spans="1:51" ht="15.75">
      <c r="A194" s="1"/>
      <c r="B194" s="109">
        <v>1</v>
      </c>
      <c r="C194" s="110" t="s">
        <v>35</v>
      </c>
      <c r="D194" s="111">
        <v>2</v>
      </c>
      <c r="E194" s="109">
        <v>2</v>
      </c>
      <c r="F194" s="110" t="str">
        <f>IF(AK178&gt;1,"v","")</f>
        <v>v</v>
      </c>
      <c r="G194" s="111">
        <v>3</v>
      </c>
      <c r="H194" s="109">
        <v>1</v>
      </c>
      <c r="I194" s="110" t="str">
        <f>IF(AK178&gt;2,"v","")</f>
        <v>v</v>
      </c>
      <c r="J194" s="111">
        <v>3</v>
      </c>
      <c r="K194" s="109"/>
      <c r="L194" s="110" t="str">
        <f>IF(AK178&gt;3,"v","")</f>
        <v/>
      </c>
      <c r="M194" s="111"/>
      <c r="N194" s="109"/>
      <c r="O194" s="110" t="str">
        <f>IF(AK178&gt;4,"v","")</f>
        <v/>
      </c>
      <c r="P194" s="111"/>
      <c r="Q194" s="109"/>
      <c r="R194" s="110" t="str">
        <f>IF(AK178&gt;5,"v","")</f>
        <v/>
      </c>
      <c r="S194" s="111"/>
      <c r="T194" s="109"/>
      <c r="U194" s="110" t="str">
        <f>IF(AK178&gt;6,"v","")</f>
        <v/>
      </c>
      <c r="V194" s="111"/>
      <c r="W194" s="109"/>
      <c r="X194" s="110" t="str">
        <f>IF(AK178&gt;7,"v","")</f>
        <v/>
      </c>
      <c r="Y194" s="111"/>
      <c r="Z194" s="109"/>
      <c r="AA194" s="110" t="str">
        <f>IF(AK178&gt;8,"v","")</f>
        <v/>
      </c>
      <c r="AB194" s="111"/>
      <c r="AC194" s="109"/>
      <c r="AD194" s="110" t="str">
        <f>IF(AK178&gt;9,"v","")</f>
        <v/>
      </c>
      <c r="AE194" s="111"/>
      <c r="AF194" s="160" t="str">
        <f>IF(AK179&gt;0,"Team 1","")</f>
        <v>Team 1</v>
      </c>
      <c r="AG194" s="162">
        <f>IF(AK179&lt;1,"",IF(AK178&lt;1,"",IF(B194=1,B200-D200,IF(D194=1,D200-B200,""))))</f>
        <v>19</v>
      </c>
      <c r="AH194" s="162" t="str">
        <f>IF(AK179&lt;1,"",IF(AK178&lt;2,"",IF(E194=1,E200-G200,IF(G194=1,G200-E200,""))))</f>
        <v/>
      </c>
      <c r="AI194" s="162">
        <f>IF(AK179&lt;1,"",IF(AK178&lt;3,"",IF(H194=1,H200-J200,IF(J194=1,J200-H200,""))))</f>
        <v>7</v>
      </c>
      <c r="AJ194" s="162" t="str">
        <f>IF(AK179&lt;1,"",IF(AK178&lt;4,"",IF(K194=1,K200-M200,IF(M194=1,M200-K200,""))))</f>
        <v/>
      </c>
      <c r="AK194" s="162" t="str">
        <f>IF(AK179&lt;1,"",IF(AK178&lt;5,"",IF(N194=1,N200-P200,IF(P194=1,P200-N200,""))))</f>
        <v/>
      </c>
      <c r="AL194" s="162" t="str">
        <f>IF(AK179&lt;1,"",IF(AK178&lt;6,"",IF(Q194=1,Q200-S200,IF(S194=1,S200-Q200,""))))</f>
        <v/>
      </c>
      <c r="AM194" s="162" t="str">
        <f>IF(AK179&lt;1,"",IF(AK178&lt;7,"",IF(T194=1,T200-V200,IF(V194=1,V200-T200,""))))</f>
        <v/>
      </c>
      <c r="AN194" s="162" t="str">
        <f>IF(AK179&lt;1,"",IF(AK178&lt;8,"",IF(W194=1,W200-Y200,IF(Y194=1,Y200-W200,""))))</f>
        <v/>
      </c>
      <c r="AO194" s="162" t="str">
        <f>IF(AK179&lt;1,"",IF(AK178&lt;9,"",IF(Z194=1,Z200-AB200,IF(AB194=1,AB200-Z200,""))))</f>
        <v/>
      </c>
      <c r="AP194" s="162" t="str">
        <f>IF(AK179&lt;1,"",IF(AK178&lt;10,"",IF(AC194=1,AC200-AE200,IF(AE194=1,AE200-AC200,""))))</f>
        <v/>
      </c>
      <c r="AQ194" s="161">
        <f>SUM(AG194:AP194)</f>
        <v>26</v>
      </c>
    </row>
    <row r="195" spans="1:51" ht="15">
      <c r="A195" s="3" t="s">
        <v>36</v>
      </c>
      <c r="B195" s="112">
        <v>17</v>
      </c>
      <c r="C195" s="113" t="s">
        <v>37</v>
      </c>
      <c r="D195" s="114">
        <v>10</v>
      </c>
      <c r="E195" s="112">
        <v>16</v>
      </c>
      <c r="F195" s="113" t="str">
        <f>IF(AK178&gt;1,"/","")</f>
        <v>/</v>
      </c>
      <c r="G195" s="114">
        <v>18</v>
      </c>
      <c r="H195" s="112">
        <v>18</v>
      </c>
      <c r="I195" s="113" t="str">
        <f>IF(AK178&gt;2,"/","")</f>
        <v>/</v>
      </c>
      <c r="J195" s="114">
        <v>16</v>
      </c>
      <c r="K195" s="112"/>
      <c r="L195" s="113" t="str">
        <f>IF(AK178&gt;3,"/","")</f>
        <v/>
      </c>
      <c r="M195" s="114"/>
      <c r="N195" s="112"/>
      <c r="O195" s="113" t="str">
        <f>IF(AK178&gt;4,"/","")</f>
        <v/>
      </c>
      <c r="P195" s="114"/>
      <c r="Q195" s="112"/>
      <c r="R195" s="113" t="str">
        <f>IF(AK178&gt;5,"/","")</f>
        <v/>
      </c>
      <c r="S195" s="114"/>
      <c r="T195" s="112"/>
      <c r="U195" s="113" t="str">
        <f>IF(AK178&gt;6,"/","")</f>
        <v/>
      </c>
      <c r="V195" s="114"/>
      <c r="W195" s="112"/>
      <c r="X195" s="113" t="str">
        <f>IF(AK178&gt;7,"/","")</f>
        <v/>
      </c>
      <c r="Y195" s="114"/>
      <c r="Z195" s="112"/>
      <c r="AA195" s="113" t="str">
        <f>IF(AK178&gt;8,"/","")</f>
        <v/>
      </c>
      <c r="AB195" s="114"/>
      <c r="AC195" s="112"/>
      <c r="AD195" s="113" t="str">
        <f>IF(AK178&gt;9,"/","")</f>
        <v/>
      </c>
      <c r="AE195" s="114"/>
      <c r="AF195" s="160" t="str">
        <f>IF(AK179&gt;1,"Team 2","")</f>
        <v>Team 2</v>
      </c>
      <c r="AG195" s="162">
        <f>IF(AK179&lt;2,"",IF(AK178&lt;1,"",IF(B194=2,B200-D200,IF(D194=2,D200-B200,""))))</f>
        <v>-19</v>
      </c>
      <c r="AH195" s="162">
        <f>IF(AK179&lt;2,"",IF(AK178&lt;2,"",IF(E194=2,E200-G200,IF(G194=2,G200-E200,""))))</f>
        <v>3</v>
      </c>
      <c r="AI195" s="162" t="str">
        <f>IF(AK179&lt;2,"",IF(AK178&lt;3,"",IF(H194=2,H200-J200,IF(J194=2,J200-H200,""))))</f>
        <v/>
      </c>
      <c r="AJ195" s="162" t="str">
        <f>IF(AK179&lt;2,"",IF(AK178&lt;4,"",IF(K194=2,K200-M200,IF(M194=2,M200-K200,""))))</f>
        <v/>
      </c>
      <c r="AK195" s="162" t="str">
        <f>IF(AK179&lt;2,"",IF(AK178&lt;5,"",IF(N194=2,N200-P200,IF(P194=2,P200-N200,""))))</f>
        <v/>
      </c>
      <c r="AL195" s="162" t="str">
        <f>IF(AK179&lt;2,"",IF(AK178&lt;6,"",IF(Q194=2,Q200-S200,IF(S194=2,S200-Q200,""))))</f>
        <v/>
      </c>
      <c r="AM195" s="162" t="str">
        <f>IF(AK179&lt;2,"",IF(AK178&lt;7,"",IF(T194=2,T200-V200,IF(V194=2,V200-T200,""))))</f>
        <v/>
      </c>
      <c r="AN195" s="162" t="str">
        <f>IF(AK179&lt;2,"",IF(AK178&lt;8,"",IF(W194=2,W200-Y200,IF(Y194=2,Y200-W200,""))))</f>
        <v/>
      </c>
      <c r="AO195" s="162" t="str">
        <f>IF(AK179&lt;2,"",IF(AK178&lt;9,"",IF(Z194=2,Z200-AB200,IF(AB194=2,AB200-Z200,""))))</f>
        <v/>
      </c>
      <c r="AP195" s="162" t="str">
        <f>IF(AK179&lt;2,"",IF(AK178&lt;10,"",IF(AC194=2,AC200-AE200,IF(AE194=2,AE200-AC200,""))))</f>
        <v/>
      </c>
      <c r="AQ195" s="161">
        <f>SUM(AG195:AP195)</f>
        <v>-16</v>
      </c>
    </row>
    <row r="196" spans="1:51" ht="15">
      <c r="A196" s="46" t="str">
        <f>IF(AK177&gt;1,"Game 2","")</f>
        <v>Game 2</v>
      </c>
      <c r="B196" s="112">
        <v>23</v>
      </c>
      <c r="C196" s="113" t="s">
        <v>37</v>
      </c>
      <c r="D196" s="114">
        <v>11</v>
      </c>
      <c r="E196" s="112">
        <v>20</v>
      </c>
      <c r="F196" s="113" t="str">
        <f>IF(AK178&gt;1,IF(AK177&gt;1,"/",""),"")</f>
        <v>/</v>
      </c>
      <c r="G196" s="114">
        <v>15</v>
      </c>
      <c r="H196" s="112">
        <v>19</v>
      </c>
      <c r="I196" s="113" t="str">
        <f>IF(AK178&gt;2,IF(AK177&gt;1,"/",""),"")</f>
        <v>/</v>
      </c>
      <c r="J196" s="114">
        <v>14</v>
      </c>
      <c r="K196" s="112"/>
      <c r="L196" s="113" t="str">
        <f>IF(AK178&gt;3,IF(AK177&gt;1,"/",""),"")</f>
        <v/>
      </c>
      <c r="M196" s="114"/>
      <c r="N196" s="112"/>
      <c r="O196" s="113" t="str">
        <f>IF(AK178&gt;4,IF(AK177&gt;1,"/",""),"")</f>
        <v/>
      </c>
      <c r="P196" s="114"/>
      <c r="Q196" s="112"/>
      <c r="R196" s="113" t="str">
        <f>IF(AK178&gt;5,IF(AK177&gt;1,"/",""),"")</f>
        <v/>
      </c>
      <c r="S196" s="114"/>
      <c r="T196" s="112"/>
      <c r="U196" s="113" t="str">
        <f>IF(AK178&gt;6,IF(AK177&gt;1,"/",""),"")</f>
        <v/>
      </c>
      <c r="V196" s="114"/>
      <c r="W196" s="112"/>
      <c r="X196" s="113" t="str">
        <f>IF(AK178&gt;7,IF(AK177&gt;1,"/",""),"")</f>
        <v/>
      </c>
      <c r="Y196" s="114"/>
      <c r="Z196" s="112"/>
      <c r="AA196" s="113" t="str">
        <f>IF(AK178&gt;8,IF(AK177&gt;1,"/",""),"")</f>
        <v/>
      </c>
      <c r="AB196" s="114"/>
      <c r="AC196" s="112"/>
      <c r="AD196" s="113" t="str">
        <f>IF(AK178&gt;9,IF(AK177&gt;1,"/",""),"")</f>
        <v/>
      </c>
      <c r="AE196" s="114"/>
      <c r="AF196" s="160" t="str">
        <f>IF(AK179&gt;2,"Team 3","")</f>
        <v>Team 3</v>
      </c>
      <c r="AG196" s="162" t="str">
        <f>IF(AK179&lt;3,"",IF(AK178&lt;1,"",IF(B194=3,B200-D200,IF(D194=3,D200-B200,""))))</f>
        <v/>
      </c>
      <c r="AH196" s="162">
        <f>IF(AK179&lt;3,"",IF(AK178&lt;2,"",IF(E194=3,E200-G200,IF(G194=3,G200-E200,""))))</f>
        <v>-3</v>
      </c>
      <c r="AI196" s="162">
        <f>IF(AK179&lt;3,"",IF(AK178&lt;3,"",IF(H194=3,H200-J200,IF(J194=3,J200-H200,""))))</f>
        <v>-7</v>
      </c>
      <c r="AJ196" s="162" t="str">
        <f>IF(AK179&lt;3,"",IF(AK178&lt;4,"",IF(K194=3,K200-M200,IF(M194=3,M200-K200,""))))</f>
        <v/>
      </c>
      <c r="AK196" s="162" t="str">
        <f>IF(AK179&lt;3,"",IF(AK178&lt;5,"",IF(N194=3,N200-P200,IF(P194=3,P200-N200,""))))</f>
        <v/>
      </c>
      <c r="AL196" s="162" t="str">
        <f>IF(AK179&lt;3,"",IF(AK178&lt;6,"",IF(Q194=3,Q200-S200,IF(S194=3,S200-Q200,""))))</f>
        <v/>
      </c>
      <c r="AM196" s="162" t="str">
        <f>IF(AK179&lt;3,"",IF(AK178&lt;7,"",IF(T194=3,T200-V200,IF(V194=3,V200-T200,""))))</f>
        <v/>
      </c>
      <c r="AN196" s="162" t="str">
        <f>IF(AK179&lt;3,"",IF(AK178&lt;8,"",IF(W194=3,W200-Y200,IF(Y194=3,Y200-W200,""))))</f>
        <v/>
      </c>
      <c r="AO196" s="162" t="str">
        <f>IF(AK179&lt;3,"",IF(AK178&lt;9,"",IF(Z194=3,Z200-AB200,IF(AB194=3,AB200-Z200,""))))</f>
        <v/>
      </c>
      <c r="AP196" s="162" t="str">
        <f>IF(AK179&lt;3,"",IF(AK178&lt;9,"",IF(AC194=3,AC200-AE200,IF(AE194=3,AE200-AC200,""))))</f>
        <v/>
      </c>
      <c r="AQ196" s="161">
        <f>SUM(AG196:AP196)</f>
        <v>-10</v>
      </c>
    </row>
    <row r="197" spans="1:51" ht="15" hidden="1">
      <c r="A197" s="46" t="str">
        <f>IF(AK177&gt;2,"Game 3","")</f>
        <v/>
      </c>
      <c r="B197" s="112"/>
      <c r="C197" s="113" t="s">
        <v>37</v>
      </c>
      <c r="D197" s="114"/>
      <c r="E197" s="112"/>
      <c r="F197" s="113" t="str">
        <f>IF(AK178&gt;1,IF(AK177&gt;2,"/",""),"")</f>
        <v/>
      </c>
      <c r="G197" s="114"/>
      <c r="H197" s="112"/>
      <c r="I197" s="113" t="str">
        <f>IF(AK178&gt;2,IF(AK177&gt;2,"/",""),"")</f>
        <v/>
      </c>
      <c r="J197" s="114"/>
      <c r="K197" s="112"/>
      <c r="L197" s="113" t="str">
        <f>IF(AK178&gt;3,IF(AK177&gt;2,"/",""),"")</f>
        <v/>
      </c>
      <c r="M197" s="114"/>
      <c r="N197" s="112"/>
      <c r="O197" s="113" t="str">
        <f>IF(AK178&gt;4,IF(AK177&gt;2,"/",""),"")</f>
        <v/>
      </c>
      <c r="P197" s="114"/>
      <c r="Q197" s="112"/>
      <c r="R197" s="113" t="str">
        <f>IF(AK178&gt;5,IF(AK177&gt;2,"/",""),"")</f>
        <v/>
      </c>
      <c r="S197" s="114"/>
      <c r="T197" s="112"/>
      <c r="U197" s="113" t="str">
        <f>IF(AK178&gt;6,IF(AK177&gt;2,"/",""),"")</f>
        <v/>
      </c>
      <c r="V197" s="114"/>
      <c r="W197" s="112"/>
      <c r="X197" s="113" t="str">
        <f>IF(AK178&gt;7,IF(AK177&gt;2,"/",""),"")</f>
        <v/>
      </c>
      <c r="Y197" s="114"/>
      <c r="Z197" s="112"/>
      <c r="AA197" s="113" t="str">
        <f>IF(AK178&gt;8,IF(AK177&gt;2,"/",""),"")</f>
        <v/>
      </c>
      <c r="AB197" s="114"/>
      <c r="AC197" s="112"/>
      <c r="AD197" s="113" t="str">
        <f>IF(AK178&gt;9,IF(AK177&gt;2,"/",""),"")</f>
        <v/>
      </c>
      <c r="AE197" s="114"/>
      <c r="AF197" s="160" t="str">
        <f>IF(AK179&gt;3,"Team 4","")</f>
        <v/>
      </c>
      <c r="AG197" s="162" t="str">
        <f>IF(AK179&lt;4,"",IF(AK178&lt;1,"",IF(B194=4,B200-D200,IF(D194=4,D200-B200,""))))</f>
        <v/>
      </c>
      <c r="AH197" s="162" t="str">
        <f>IF(AK179&lt;4,"",IF(AK178&lt;2,"",IF(E194=4,E200-G200,IF(G194=4,G200-E200,""))))</f>
        <v/>
      </c>
      <c r="AI197" s="162" t="str">
        <f>IF(AK179&lt;4,"",IF(AK178&lt;3,"",IF(H194=4,H200-J200,IF(J194=4,J200-H200,""))))</f>
        <v/>
      </c>
      <c r="AJ197" s="162" t="str">
        <f>IF(AK179&lt;4,"",IF(AK178&lt;4,"",IF(K194=4,K200-M200,IF(M194=4,M200-K200,""))))</f>
        <v/>
      </c>
      <c r="AK197" s="162" t="str">
        <f>IF(AK179&lt;4,"",IF(AK178&lt;5,"",IF(N194=4,N200-P200,IF(P194=4,P200-N200,""))))</f>
        <v/>
      </c>
      <c r="AL197" s="162" t="str">
        <f>IF(AK179&lt;4,"",IF(AK178&lt;6,"",IF(Q194=4,Q200-S200,IF(S194=4,S200-Q200,""))))</f>
        <v/>
      </c>
      <c r="AM197" s="162" t="str">
        <f>IF(AK179&lt;4,"",IF(AK178&lt;7,"",IF(T194=4,T200-V200,IF(V194=4,V200-T200,""))))</f>
        <v/>
      </c>
      <c r="AN197" s="162" t="str">
        <f>IF(AK179&lt;4,"",IF(AK178&lt;8,"",IF(W194=4,W200-Y200,IF(Y194=4,Y200-W200,""))))</f>
        <v/>
      </c>
      <c r="AO197" s="162" t="str">
        <f>IF(AK179&lt;4,"",IF(AK178&lt;9,"",IF(Z194=4,Z200-AB200,IF(AB194=4,AB200-Z200,""))))</f>
        <v/>
      </c>
      <c r="AP197" s="162" t="str">
        <f>IF(AK179&lt;4,"",IF(AK178&lt;10,"",IF(AC194=4,AC200-AE200,IF(AE194=4,AE200-AC200,""))))</f>
        <v/>
      </c>
      <c r="AQ197" s="161">
        <f>SUM(AG197:AP197)</f>
        <v>0</v>
      </c>
    </row>
    <row r="198" spans="1:51" ht="15" hidden="1">
      <c r="A198" s="46" t="str">
        <f>IF(AK177&gt;3,"Game 4","")</f>
        <v/>
      </c>
      <c r="B198" s="112"/>
      <c r="C198" s="113" t="s">
        <v>37</v>
      </c>
      <c r="D198" s="114"/>
      <c r="E198" s="112"/>
      <c r="F198" s="113" t="str">
        <f>IF(AK178&gt;1,IF(AK177&gt;3,"/",""),"")</f>
        <v/>
      </c>
      <c r="G198" s="114"/>
      <c r="H198" s="112"/>
      <c r="I198" s="113" t="str">
        <f>IF(AK178&gt;2,IF(AK177&gt;3,"/",""),"")</f>
        <v/>
      </c>
      <c r="J198" s="114"/>
      <c r="K198" s="112"/>
      <c r="L198" s="113" t="str">
        <f>IF(AK178&gt;3,IF(AK177&gt;3,"/",""),"")</f>
        <v/>
      </c>
      <c r="M198" s="114"/>
      <c r="N198" s="112"/>
      <c r="O198" s="113" t="str">
        <f>IF(AK178&gt;4,IF(AK177&gt;3,"/",""),"")</f>
        <v/>
      </c>
      <c r="P198" s="114"/>
      <c r="Q198" s="112"/>
      <c r="R198" s="113" t="str">
        <f>IF(AK178&gt;5,IF(AK177&gt;3,"/",""),"")</f>
        <v/>
      </c>
      <c r="S198" s="114"/>
      <c r="T198" s="112"/>
      <c r="U198" s="113" t="str">
        <f>IF(AK178&gt;6,IF(AK177&gt;3,"/",""),"")</f>
        <v/>
      </c>
      <c r="V198" s="114"/>
      <c r="W198" s="112"/>
      <c r="X198" s="113" t="str">
        <f>IF(AK178&gt;7,IF(AK177&gt;3,"/",""),"")</f>
        <v/>
      </c>
      <c r="Y198" s="114"/>
      <c r="Z198" s="112"/>
      <c r="AA198" s="113" t="str">
        <f>IF(AK178&gt;8,IF(AK177&gt;3,"/",""),"")</f>
        <v/>
      </c>
      <c r="AB198" s="114"/>
      <c r="AC198" s="112"/>
      <c r="AD198" s="113" t="str">
        <f>IF(AK178&gt;9,IF(AK177&gt;3,"/",""),"")</f>
        <v/>
      </c>
      <c r="AE198" s="114"/>
      <c r="AF198" s="160" t="str">
        <f>IF(AK179&gt;4,"Team 5","")</f>
        <v/>
      </c>
      <c r="AG198" s="163" t="str">
        <f>IF(AK179&lt;5,"",IF(AK178&lt;1,"",IF(B194=5,B200-D200,IF(D194=5,D200-B200,""))))</f>
        <v/>
      </c>
      <c r="AH198" s="162" t="str">
        <f>IF(AK179&lt;5,"",IF(AK178&lt;2,"",IF(E194=5,E200-G200,IF(G194=5,G200-E200,""))))</f>
        <v/>
      </c>
      <c r="AI198" s="162" t="str">
        <f>IF(AK179&lt;5,"",IF(AK178&lt;3,"",IF(H194=5,H200-J200,IF(J194=5,J200-H200,""))))</f>
        <v/>
      </c>
      <c r="AJ198" s="162" t="str">
        <f>IF(AK179&lt;5,"",IF(AK178&lt;4,"",IF(K194=5,K200-M200,IF(M194=5,M200-K200,""))))</f>
        <v/>
      </c>
      <c r="AK198" s="162" t="str">
        <f>IF(AK179&lt;5,"",IF(AK178&lt;5,"",IF(N194=5,N200-P200,IF(P194=5,P200-N200,""))))</f>
        <v/>
      </c>
      <c r="AL198" s="162" t="str">
        <f>IF(AK179&lt;5,"",IF(AK178&lt;6,"",IF(Q194=5,Q200-S200,IF(S194=5,S200-Q200,""))))</f>
        <v/>
      </c>
      <c r="AM198" s="162" t="str">
        <f>IF(AK179&lt;5,"",IF(AK178&lt;7,"",IF(T194=5,T200-V200,IF(V194=5,V200-T200,""))))</f>
        <v/>
      </c>
      <c r="AN198" s="162" t="str">
        <f>IF(AK179&lt;5,"",IF(AK178&lt;8,"",IF(W194=5,W200-Y200,IF(Y194=5,Y200-W200,""))))</f>
        <v/>
      </c>
      <c r="AO198" s="162" t="str">
        <f>IF(AK179&lt;5,"",IF(AK178&lt;9,"",IF(Z194=5,Z200-AB200,IF(AB194=5,AB200-Z200,""))))</f>
        <v/>
      </c>
      <c r="AP198" s="162" t="str">
        <f>IF(AK179&lt;5,"",IF(AK178&lt;10,"",IF(AC194=5,AC200-AE200,IF(AE194=5,AE200-AC200,""))))</f>
        <v/>
      </c>
      <c r="AQ198" s="161">
        <f>SUM(AG198:AP198)</f>
        <v>0</v>
      </c>
    </row>
    <row r="199" spans="1:51" ht="15">
      <c r="A199" s="46" t="str">
        <f>IF(AK177&gt;4,"Game 5","")</f>
        <v/>
      </c>
      <c r="B199" s="112"/>
      <c r="C199" s="113" t="s">
        <v>37</v>
      </c>
      <c r="D199" s="114"/>
      <c r="E199" s="112"/>
      <c r="F199" s="113" t="str">
        <f>IF(AK178&gt;1,IF(AK177&gt;4,"/",""),"")</f>
        <v/>
      </c>
      <c r="G199" s="114"/>
      <c r="H199" s="112"/>
      <c r="I199" s="113" t="str">
        <f>IF(AK178&gt;2,IF(AK177&gt;4,"/",""),"")</f>
        <v/>
      </c>
      <c r="J199" s="114"/>
      <c r="K199" s="112"/>
      <c r="L199" s="113" t="str">
        <f>IF(AK178&gt;3,IF(AK177&gt;4,"/",""),"")</f>
        <v/>
      </c>
      <c r="M199" s="114"/>
      <c r="N199" s="112"/>
      <c r="O199" s="113" t="str">
        <f>IF(AK178&gt;4,IF(AK177&gt;4,"/",""),"")</f>
        <v/>
      </c>
      <c r="P199" s="114"/>
      <c r="Q199" s="112"/>
      <c r="R199" s="113" t="str">
        <f>IF(AK178&gt;5,IF(AK177&gt;4,"/",""),"")</f>
        <v/>
      </c>
      <c r="S199" s="114"/>
      <c r="T199" s="112"/>
      <c r="U199" s="113" t="str">
        <f>IF(AK178&gt;6,IF(AK177&gt;4,"/",""),"")</f>
        <v/>
      </c>
      <c r="V199" s="114"/>
      <c r="W199" s="112"/>
      <c r="X199" s="113" t="str">
        <f>IF(AK178&gt;7,IF(AK177&gt;4,"/",""),"")</f>
        <v/>
      </c>
      <c r="Y199" s="114"/>
      <c r="Z199" s="112"/>
      <c r="AA199" s="113" t="str">
        <f>IF(AK178&gt;8,IF(AK177&gt;4,"/",""),"")</f>
        <v/>
      </c>
      <c r="AB199" s="114"/>
      <c r="AC199" s="112"/>
      <c r="AD199" s="113" t="str">
        <f>IF(AK178&gt;9,IF(AK177&gt;4,"/",""),"")</f>
        <v/>
      </c>
      <c r="AE199" s="114"/>
      <c r="AF199" s="1"/>
      <c r="AG199" s="1"/>
      <c r="AH199" s="1"/>
      <c r="AI199" s="1"/>
      <c r="AJ199" s="1"/>
      <c r="AK199" s="1"/>
      <c r="AL199" s="1"/>
      <c r="AM199" s="1"/>
      <c r="AN199" s="1"/>
      <c r="AO199" s="1"/>
      <c r="AP199" s="1"/>
      <c r="AQ199" s="1"/>
    </row>
    <row r="200" spans="1:51" hidden="1">
      <c r="A200" s="116"/>
      <c r="B200" s="116">
        <f>IF($AK177=5,SUM(B195:B199),IF($AK177=4,SUM(B195:B198),IF($AK177=3,SUM(B195:B197),IF($AK177=2,SUM(B195:B196),B195))))</f>
        <v>40</v>
      </c>
      <c r="C200" s="116"/>
      <c r="D200" s="116">
        <f>IF($AK177=5,SUM(D195:D199),IF($AK177=4,SUM(D195:D198),IF($AK177=3,SUM(D195:D197),IF($AK177=2,SUM(D195:D196),D195))))</f>
        <v>21</v>
      </c>
      <c r="E200" s="116">
        <f>IF($AK177=5,SUM(E195:E199),IF($AK177=4,SUM(E195:E198),IF($AK177=3,SUM(E195:E197),IF($AK177=2,SUM(E195:E196),E195))))</f>
        <v>36</v>
      </c>
      <c r="F200" s="116"/>
      <c r="G200" s="116">
        <f>IF($AK177=5,SUM(G195:G199),IF($AK177=4,SUM(G195:G198),IF($AK177=3,SUM(G195:G197),IF($AK177=2,SUM(G195:G196),G195))))</f>
        <v>33</v>
      </c>
      <c r="H200" s="116">
        <f>IF($AK177=5,SUM(H195:H199),IF($AK177=4,SUM(H195:H198),IF($AK177=3,SUM(H195:H197),IF($AK177=2,SUM(H195:H196),H195))))</f>
        <v>37</v>
      </c>
      <c r="I200" s="116"/>
      <c r="J200" s="116">
        <f>IF($AK177=5,SUM(J195:J199),IF($AK177=4,SUM(J195:J198),IF($AK177=3,SUM(J195:J197),IF($AK177=2,SUM(J195:J196),J195))))</f>
        <v>30</v>
      </c>
      <c r="K200" s="116">
        <f>IF($AK177=5,SUM(K195:K199),IF($AK177=4,SUM(K195:K198),IF($AK177=3,SUM(K195:K197),IF($AK177=2,SUM(K195:K196),K195))))</f>
        <v>0</v>
      </c>
      <c r="L200" s="116"/>
      <c r="M200" s="116">
        <f>IF($AK177=5,SUM(M195:M199),IF($AK177=4,SUM(M195:M198),IF($AK177=3,SUM(M195:M197),IF($AK177=2,SUM(M195:M196),M195))))</f>
        <v>0</v>
      </c>
      <c r="N200" s="116">
        <f>IF($AK177=5,SUM(N195:N199),IF($AK177=4,SUM(N195:N198),IF($AK177=3,SUM(N195:N197),IF($AK177=2,SUM(N195:N196),N195))))</f>
        <v>0</v>
      </c>
      <c r="O200" s="116"/>
      <c r="P200" s="116">
        <f>IF($AK177=5,SUM(P195:P199),IF($AK177=4,SUM(P195:P198),IF($AK177=3,SUM(P195:P197),IF($AK177=2,SUM(P195:P196),P195))))</f>
        <v>0</v>
      </c>
      <c r="Q200" s="116">
        <f>IF($AK177=5,SUM(Q195:Q199),IF($AK177=4,SUM(Q195:Q198),IF($AK177=3,SUM(Q195:Q197),IF($AK177=2,SUM(Q195:Q196),Q195))))</f>
        <v>0</v>
      </c>
      <c r="R200" s="116"/>
      <c r="S200" s="116">
        <f>IF($AK177=5,SUM(S195:S199),IF($AK177=4,SUM(S195:S198),IF($AK177=3,SUM(S195:S197),IF($AK177=2,SUM(S195:S196),S195))))</f>
        <v>0</v>
      </c>
      <c r="T200" s="116">
        <f>IF($AK177=5,SUM(T195:T199),IF($AK177=4,SUM(T195:T198),IF($AK177=3,SUM(T195:T197),IF($AK177=2,SUM(T195:T196),T195))))</f>
        <v>0</v>
      </c>
      <c r="U200" s="116"/>
      <c r="V200" s="116">
        <f>IF($AK177=5,SUM(V195:V199),IF($AK177=4,SUM(V195:V198),IF($AK177=3,SUM(V195:V197),IF($AK177=2,SUM(V195:V196),V195))))</f>
        <v>0</v>
      </c>
      <c r="W200" s="116">
        <f>IF($AK177=5,SUM(W195:W199),IF($AK177=4,SUM(W195:W198),IF($AK177=3,SUM(W195:W197),IF($AK177=2,SUM(W195:W196),W195))))</f>
        <v>0</v>
      </c>
      <c r="X200" s="116"/>
      <c r="Y200" s="116">
        <f>IF($AK177=5,SUM(Y195:Y199),IF($AK177=4,SUM(Y195:Y198),IF($AK177=3,SUM(Y195:Y197),IF($AK177=2,SUM(Y195:Y196),Y195))))</f>
        <v>0</v>
      </c>
      <c r="Z200" s="116">
        <f>IF($AK177=5,SUM(Z195:Z199),IF($AK177=4,SUM(Z195:Z198),IF($AK177=3,SUM(Z195:Z197),IF($AK177=2,SUM(Z195:Z196),Z195))))</f>
        <v>0</v>
      </c>
      <c r="AA200" s="116"/>
      <c r="AB200" s="116">
        <f>IF($AK177=5,SUM(AB195:AB199),IF($AK177=4,SUM(AB195:AB198),IF($AK177=3,SUM(AB195:AB197),IF($AK177=2,SUM(AB195:AB196),AB195))))</f>
        <v>0</v>
      </c>
      <c r="AC200" s="116">
        <f>IF($AK177=5,SUM(AC195:AC199),IF($AK177=4,SUM(AC195:AC198),IF($AK177=3,SUM(AC195:AC197),IF($AK177=2,SUM(AC195:AC196),AC195))))</f>
        <v>0</v>
      </c>
      <c r="AD200" s="116"/>
      <c r="AE200" s="116">
        <f>IF($AK177=5,SUM(AE195:AE199),IF($AK177=4,SUM(AE195:AE198),IF($AK177=3,SUM(AE195:AE197),IF($AK177=2,SUM(AE195:AE196),AE195))))</f>
        <v>0</v>
      </c>
      <c r="AF200" s="1"/>
      <c r="AG200" s="1"/>
      <c r="AH200" s="1"/>
      <c r="AI200" s="1"/>
      <c r="AJ200" s="1"/>
      <c r="AK200" s="1"/>
      <c r="AL200" s="1"/>
      <c r="AM200" s="1"/>
      <c r="AN200" s="1"/>
      <c r="AO200" s="1"/>
      <c r="AP200" s="1"/>
      <c r="AQ200" s="1"/>
    </row>
    <row r="201" spans="1:51" s="115" customFormat="1" ht="12.75" hidden="1" customHeight="1">
      <c r="A201" s="115" t="s">
        <v>201</v>
      </c>
      <c r="B201" s="164">
        <f>IF(AND(B195&gt;D195,$AK178&gt;0,ISNUMBER(B195),ISNUMBER(D195)),1,0)</f>
        <v>1</v>
      </c>
      <c r="C201" s="164"/>
      <c r="D201" s="165">
        <f>IF(AND(D195&gt;B195,$AK178&gt;0,ISNUMBER(B195),ISNUMBER(D195)),1,0)</f>
        <v>0</v>
      </c>
      <c r="E201" s="164">
        <f>IF(AND(E195&gt;G195,$AK178&gt;1,ISNUMBER(E195),ISNUMBER(G195)),1,0)</f>
        <v>0</v>
      </c>
      <c r="F201" s="164"/>
      <c r="G201" s="165">
        <f>IF(AND(G195&gt;E195,$AK178&gt;1,ISNUMBER(E195),ISNUMBER(G195)),1,0)</f>
        <v>1</v>
      </c>
      <c r="H201" s="164">
        <f>IF(AND(H195&gt;J195,$AK178&gt;2,ISNUMBER(H195),ISNUMBER(J195)),1,0)</f>
        <v>1</v>
      </c>
      <c r="I201" s="164"/>
      <c r="J201" s="165">
        <f>IF(AND(J195&gt;H195,$AK178&gt;2,ISNUMBER(H195),ISNUMBER(J195)),1,0)</f>
        <v>0</v>
      </c>
      <c r="K201" s="164">
        <f>IF(AND(K195&gt;M195,$AK178&gt;3,ISNUMBER(K195),ISNUMBER(M195)),1,0)</f>
        <v>0</v>
      </c>
      <c r="L201" s="164"/>
      <c r="M201" s="165">
        <f>IF(AND(M195&gt;K195,$AK178&gt;3,ISNUMBER(K195),ISNUMBER(M195)),1,0)</f>
        <v>0</v>
      </c>
      <c r="N201" s="164">
        <f>IF(AND(N195&gt;P195,$AK178&gt;4,ISNUMBER(N195),ISNUMBER(P195)),1,0)</f>
        <v>0</v>
      </c>
      <c r="O201" s="164"/>
      <c r="P201" s="165">
        <f>IF(AND(P195&gt;N195,$AK178&gt;4,ISNUMBER(N195),ISNUMBER(P195)),1,0)</f>
        <v>0</v>
      </c>
      <c r="Q201" s="164">
        <f>IF(AND(Q195&gt;S195,$AK178&gt;5,ISNUMBER(Q195),ISNUMBER(S195)),1,0)</f>
        <v>0</v>
      </c>
      <c r="R201" s="164"/>
      <c r="S201" s="165">
        <f>IF(AND(S195&gt;Q195,$AK178&gt;5,ISNUMBER(Q195),ISNUMBER(S195)),1,0)</f>
        <v>0</v>
      </c>
      <c r="T201" s="164">
        <f>IF(AND(T195&gt;V195,$AK178&gt;6,ISNUMBER(T195),ISNUMBER(V195)),1,0)</f>
        <v>0</v>
      </c>
      <c r="U201" s="164"/>
      <c r="V201" s="165">
        <f>IF(AND(V195&gt;T195,$AK178&gt;6,ISNUMBER(T195),ISNUMBER(V195)),1,0)</f>
        <v>0</v>
      </c>
      <c r="W201" s="164">
        <f>IF(AND(W195&gt;Y195,$AK178&gt;7,ISNUMBER(W195),ISNUMBER(Y195)),1,0)</f>
        <v>0</v>
      </c>
      <c r="X201" s="164"/>
      <c r="Y201" s="165">
        <f>IF(AND(Y195&gt;W195,$AK178&gt;7,ISNUMBER(W195),ISNUMBER(Y195)),1,0)</f>
        <v>0</v>
      </c>
      <c r="Z201" s="164">
        <f>IF(AND(Z195&gt;AB195,$AK178&gt;8,ISNUMBER(Z195),ISNUMBER(AB195)),1,0)</f>
        <v>0</v>
      </c>
      <c r="AA201" s="164"/>
      <c r="AB201" s="165">
        <f>IF(AND(AB195&gt;Z195,$AK178&gt;8,ISNUMBER(Z195),ISNUMBER(AB195)),1,0)</f>
        <v>0</v>
      </c>
      <c r="AC201" s="164">
        <f>IF(AND(AC195&gt;AE195,$AK178&gt;9,ISNUMBER(AC195),ISNUMBER(AE195)),1,0)</f>
        <v>0</v>
      </c>
      <c r="AD201" s="164"/>
      <c r="AE201" s="165">
        <f>IF(AND(AE195&gt;AC195,$AK178&gt;9,ISNUMBER(AC195),ISNUMBER(AE195)),1,0)</f>
        <v>0</v>
      </c>
      <c r="AT201" s="513"/>
      <c r="AU201" s="513"/>
      <c r="AV201" s="513"/>
      <c r="AW201" s="514"/>
      <c r="AX201" s="513"/>
      <c r="AY201" s="513"/>
    </row>
    <row r="202" spans="1:51" s="115" customFormat="1" ht="12.75" hidden="1" customHeight="1">
      <c r="A202" s="115" t="s">
        <v>202</v>
      </c>
      <c r="B202" s="164">
        <f>IF(AND(B196&gt;D196,$AK178&gt;0,$AK177&gt;1,ISNUMBER(B196),ISNUMBER(D196)),1,0)</f>
        <v>1</v>
      </c>
      <c r="C202" s="164"/>
      <c r="D202" s="165">
        <f>IF(AND(D196&gt;B196,$AK178&gt;0,$AK177&gt;1,ISNUMBER(B196),ISNUMBER(D196)),1,0)</f>
        <v>0</v>
      </c>
      <c r="E202" s="164">
        <f>IF(AND(E196&gt;G196,$AK178&gt;1,$AK177&gt;1,ISNUMBER(E196),ISNUMBER(G196)),1,0)</f>
        <v>1</v>
      </c>
      <c r="F202" s="164"/>
      <c r="G202" s="165">
        <f>IF(AND(G196&gt;E196,$AK178&gt;1,$AK177&gt;1,ISNUMBER(E196),ISNUMBER(G196)),1,0)</f>
        <v>0</v>
      </c>
      <c r="H202" s="164">
        <f>IF(AND(H196&gt;J196,$AK178&gt;2,$AK177&gt;1,ISNUMBER(H196),ISNUMBER(J196)),1,0)</f>
        <v>1</v>
      </c>
      <c r="I202" s="164"/>
      <c r="J202" s="165">
        <f>IF(AND(J196&gt;H196,$AK178&gt;2,$AK177&gt;1,ISNUMBER(H196),ISNUMBER(J196)),1,0)</f>
        <v>0</v>
      </c>
      <c r="K202" s="164">
        <f>IF(AND(K196&gt;M196,$AK178&gt;3,$AK177&gt;1,ISNUMBER(K196),ISNUMBER(M196)),1,0)</f>
        <v>0</v>
      </c>
      <c r="L202" s="164"/>
      <c r="M202" s="165">
        <f>IF(AND(M196&gt;K196,$AK178&gt;3,$AK177&gt;1,ISNUMBER(K196),ISNUMBER(M196)),1,0)</f>
        <v>0</v>
      </c>
      <c r="N202" s="164">
        <f>IF(AND(N196&gt;P196,$AK178&gt;4,$AK177&gt;1,ISNUMBER(N196),ISNUMBER(P196)),1,0)</f>
        <v>0</v>
      </c>
      <c r="O202" s="164"/>
      <c r="P202" s="165">
        <f>IF(AND(P196&gt;N196,$AK178&gt;4,$AK177&gt;1,ISNUMBER(N196),ISNUMBER(P196)),1,0)</f>
        <v>0</v>
      </c>
      <c r="Q202" s="164">
        <f>IF(AND(Q196&gt;S196,$AK178&gt;5,$AK177&gt;1,ISNUMBER(Q196),ISNUMBER(S196)),1,0)</f>
        <v>0</v>
      </c>
      <c r="R202" s="164"/>
      <c r="S202" s="165">
        <f>IF(AND(S196&gt;Q196,$AK178&gt;5,$AK177&gt;1,ISNUMBER(Q196),ISNUMBER(S196)),1,0)</f>
        <v>0</v>
      </c>
      <c r="T202" s="164">
        <f>IF(AND(T196&gt;V196,$AK178&gt;6,$AK177&gt;1,ISNUMBER(T196),ISNUMBER(V196)),1,0)</f>
        <v>0</v>
      </c>
      <c r="U202" s="164"/>
      <c r="V202" s="165">
        <f>IF(AND(V196&gt;T196,$AK178&gt;6,$AK177&gt;1,ISNUMBER(T196),ISNUMBER(V196)),1,0)</f>
        <v>0</v>
      </c>
      <c r="W202" s="164">
        <f>IF(AND(W196&gt;Y196,$AK178&gt;7,$AK177&gt;1,ISNUMBER(W196),ISNUMBER(Y196)),1,0)</f>
        <v>0</v>
      </c>
      <c r="X202" s="164"/>
      <c r="Y202" s="165">
        <f>IF(AND(Y196&gt;W196,$AK178&gt;7,$AK177&gt;1,ISNUMBER(W196),ISNUMBER(Y196)),1,0)</f>
        <v>0</v>
      </c>
      <c r="Z202" s="164">
        <f>IF(AND(Z196&gt;AB196,$AK178&gt;8,$AK177&gt;1,ISNUMBER(Z196),ISNUMBER(AB196)),1,0)</f>
        <v>0</v>
      </c>
      <c r="AA202" s="164"/>
      <c r="AB202" s="165">
        <f>IF(AND(AB196&gt;Z196,$AK178&gt;8,$AK177&gt;1,ISNUMBER(Z196),ISNUMBER(AB196)),1,0)</f>
        <v>0</v>
      </c>
      <c r="AC202" s="164">
        <f>IF(AND(AC196&gt;AE196,$AK178&gt;9,$AK177&gt;1,ISNUMBER(AC196),ISNUMBER(AE196)),1,0)</f>
        <v>0</v>
      </c>
      <c r="AD202" s="164"/>
      <c r="AE202" s="165">
        <f>IF(AND(AE196&gt;AC196,$AK178&gt;9,$AK177&gt;1,ISNUMBER(AC196),ISNUMBER(AE196)),1,0)</f>
        <v>0</v>
      </c>
      <c r="AT202" s="513"/>
      <c r="AU202" s="513"/>
      <c r="AV202" s="513"/>
      <c r="AW202" s="514"/>
      <c r="AX202" s="513"/>
      <c r="AY202" s="513"/>
    </row>
    <row r="203" spans="1:51" s="115" customFormat="1" ht="12.75" hidden="1" customHeight="1">
      <c r="A203" s="115" t="s">
        <v>203</v>
      </c>
      <c r="B203" s="164">
        <f>IF(AND(B197&gt;D197,$AK178&gt;0,$AK177&gt;2,ISNUMBER(B197),ISNUMBER(D197)),1,0)</f>
        <v>0</v>
      </c>
      <c r="C203" s="164"/>
      <c r="D203" s="165">
        <f>IF(AND(D197&gt;B197,$AK178&gt;0,$AK177&gt;2,ISNUMBER(B197),ISNUMBER(D197)),1,0)</f>
        <v>0</v>
      </c>
      <c r="E203" s="164">
        <f>IF(AND(E197&gt;G197,$AK178&gt;1,$AK177&gt;2,ISNUMBER(E197),ISNUMBER(G197)),1,0)</f>
        <v>0</v>
      </c>
      <c r="F203" s="164"/>
      <c r="G203" s="165">
        <f>IF(AND(G197&gt;E197,$AK178&gt;1,$AK177&gt;2,ISNUMBER(E197),ISNUMBER(G197)),1,0)</f>
        <v>0</v>
      </c>
      <c r="H203" s="164">
        <f>IF(AND(H197&gt;J197,$AK178&gt;2,$AK177&gt;2,ISNUMBER(H197),ISNUMBER(J197)),1,0)</f>
        <v>0</v>
      </c>
      <c r="I203" s="164"/>
      <c r="J203" s="165">
        <f>IF(AND(J197&gt;H197,$AK178&gt;2,$AK177&gt;2,ISNUMBER(H197),ISNUMBER(J197)),1,0)</f>
        <v>0</v>
      </c>
      <c r="K203" s="164">
        <f>IF(AND(K197&gt;M197,$AK178&gt;3,$AK177&gt;2,ISNUMBER(K197),ISNUMBER(M197)),1,0)</f>
        <v>0</v>
      </c>
      <c r="L203" s="164"/>
      <c r="M203" s="165">
        <f>IF(AND(M197&gt;K197,$AK178&gt;3,$AK177&gt;2,ISNUMBER(K197),ISNUMBER(M197)),1,0)</f>
        <v>0</v>
      </c>
      <c r="N203" s="164">
        <f>IF(AND(N197&gt;P197,$AK178&gt;4,$AK177&gt;2,ISNUMBER(N197),ISNUMBER(P197)),1,0)</f>
        <v>0</v>
      </c>
      <c r="O203" s="164"/>
      <c r="P203" s="165">
        <f>IF(AND(P197&gt;N197,$AK178&gt;4,$AK177&gt;2,ISNUMBER(N197),ISNUMBER(P197)),1,0)</f>
        <v>0</v>
      </c>
      <c r="Q203" s="164">
        <f>IF(AND(Q197&gt;S197,$AK178&gt;5,$AK177&gt;2,ISNUMBER(Q197),ISNUMBER(S197)),1,0)</f>
        <v>0</v>
      </c>
      <c r="R203" s="164"/>
      <c r="S203" s="165">
        <f>IF(AND(S197&gt;Q197,$AK178&gt;5,$AK177&gt;2,ISNUMBER(Q197),ISNUMBER(S197)),1,0)</f>
        <v>0</v>
      </c>
      <c r="T203" s="164">
        <f>IF(AND(T197&gt;V197,$AK178&gt;6,$AK177&gt;2,ISNUMBER(T197),ISNUMBER(V197)),1,0)</f>
        <v>0</v>
      </c>
      <c r="U203" s="164"/>
      <c r="V203" s="165">
        <f>IF(AND(V197&gt;T197,$AK178&gt;6,$AK177&gt;2,ISNUMBER(T197),ISNUMBER(V197)),1,0)</f>
        <v>0</v>
      </c>
      <c r="W203" s="164">
        <f>IF(AND(W197&gt;Y197,$AK178&gt;7,$AK177&gt;2,ISNUMBER(W197),ISNUMBER(Y197)),1,0)</f>
        <v>0</v>
      </c>
      <c r="X203" s="164"/>
      <c r="Y203" s="165">
        <f>IF(AND(Y197&gt;W197,$AK178&gt;7,$AK177&gt;2,ISNUMBER(W197),ISNUMBER(Y197)),1,0)</f>
        <v>0</v>
      </c>
      <c r="Z203" s="164">
        <f>IF(AND(Z197&gt;AB197,$AK178&gt;8,$AK177&gt;2,ISNUMBER(Z197),ISNUMBER(AB197)),1,0)</f>
        <v>0</v>
      </c>
      <c r="AA203" s="164"/>
      <c r="AB203" s="165">
        <f>IF(AND(AB197&gt;Z197,$AK178&gt;8,$AK177&gt;2,ISNUMBER(Z197),ISNUMBER(AB197)),1,0)</f>
        <v>0</v>
      </c>
      <c r="AC203" s="164">
        <f>IF(AND(AC197&gt;AE197,$AK178&gt;9,$AK177&gt;2,ISNUMBER(AC197),ISNUMBER(AE197)),1,0)</f>
        <v>0</v>
      </c>
      <c r="AD203" s="164"/>
      <c r="AE203" s="165">
        <f>IF(AND(AE197&gt;AC197,$AK178&gt;9,$AK177&gt;2,ISNUMBER(AC197),ISNUMBER(AE197)),1,0)</f>
        <v>0</v>
      </c>
      <c r="AT203" s="513"/>
      <c r="AU203" s="513"/>
      <c r="AV203" s="513"/>
      <c r="AW203" s="514"/>
      <c r="AX203" s="513"/>
      <c r="AY203" s="513"/>
    </row>
    <row r="204" spans="1:51" s="115" customFormat="1" ht="12.75" hidden="1" customHeight="1">
      <c r="A204" s="115" t="s">
        <v>204</v>
      </c>
      <c r="B204" s="164">
        <f>IF(AND(B198&gt;D198,$AK178&gt;0,$AK177&gt;3,ISNUMBER(B198),ISNUMBER(D198)),1,0)</f>
        <v>0</v>
      </c>
      <c r="C204" s="164"/>
      <c r="D204" s="165">
        <f>IF(AND(D198&gt;B198,$AK178&gt;0,$AK177&gt;3,ISNUMBER(B198),ISNUMBER(D198)),1,0)</f>
        <v>0</v>
      </c>
      <c r="E204" s="164">
        <f>IF(AND(E198&gt;G198,$AK178&gt;1,$AK177&gt;3,ISNUMBER(E198),ISNUMBER(G198)),1,0)</f>
        <v>0</v>
      </c>
      <c r="F204" s="164"/>
      <c r="G204" s="165">
        <f>IF(AND(G198&gt;E198,$AK178&gt;1,$AK177&gt;3,ISNUMBER(E198),ISNUMBER(G198)),1,0)</f>
        <v>0</v>
      </c>
      <c r="H204" s="164">
        <f>IF(AND(H198&gt;J198,$AK178&gt;2,$AK177&gt;3,ISNUMBER(H198),ISNUMBER(J198)),1,0)</f>
        <v>0</v>
      </c>
      <c r="I204" s="164"/>
      <c r="J204" s="165">
        <f>IF(AND(J198&gt;H198,$AK178&gt;2,$AK177&gt;3,ISNUMBER(H198),ISNUMBER(J198)),1,0)</f>
        <v>0</v>
      </c>
      <c r="K204" s="164">
        <f>IF(AND(K198&gt;M198,$AK178&gt;3,$AK177&gt;3,ISNUMBER(K198),ISNUMBER(M198)),1,0)</f>
        <v>0</v>
      </c>
      <c r="L204" s="164"/>
      <c r="M204" s="165">
        <f>IF(AND(M198&gt;K198,$AK178&gt;3,$AK177&gt;3,ISNUMBER(K198),ISNUMBER(M198)),1,0)</f>
        <v>0</v>
      </c>
      <c r="N204" s="164">
        <f>IF(AND(N198&gt;P198,$AK178&gt;4,$AK177&gt;3,ISNUMBER(N198),ISNUMBER(P198)),1,0)</f>
        <v>0</v>
      </c>
      <c r="O204" s="164"/>
      <c r="P204" s="165">
        <f>IF(AND(P198&gt;N198,$AK178&gt;4,$AK177&gt;3,ISNUMBER(N198),ISNUMBER(P198)),1,0)</f>
        <v>0</v>
      </c>
      <c r="Q204" s="164">
        <f>IF(AND(Q198&gt;S198,$AK178&gt;5,$AK177&gt;3,ISNUMBER(Q198),ISNUMBER(S198)),1,0)</f>
        <v>0</v>
      </c>
      <c r="R204" s="164"/>
      <c r="S204" s="165">
        <f>IF(AND(S198&gt;Q198,$AK178&gt;5,$AK177&gt;3,ISNUMBER(Q198),ISNUMBER(S198)),1,0)</f>
        <v>0</v>
      </c>
      <c r="T204" s="164">
        <f>IF(AND(T198&gt;V198,$AK178&gt;6,$AK177&gt;3,ISNUMBER(T198),ISNUMBER(V198)),1,0)</f>
        <v>0</v>
      </c>
      <c r="U204" s="164"/>
      <c r="V204" s="165">
        <f>IF(AND(V198&gt;T198,$AK178&gt;6,$AK177&gt;3,ISNUMBER(T198),ISNUMBER(V198)),1,0)</f>
        <v>0</v>
      </c>
      <c r="W204" s="164">
        <f>IF(AND(W198&gt;Y198,$AK178&gt;7,$AK177&gt;3,ISNUMBER(W198),ISNUMBER(Y198)),1,0)</f>
        <v>0</v>
      </c>
      <c r="X204" s="164"/>
      <c r="Y204" s="165">
        <f>IF(AND(Y198&gt;W198,$AK178&gt;7,$AK177&gt;3,ISNUMBER(W198),ISNUMBER(Y198)),1,0)</f>
        <v>0</v>
      </c>
      <c r="Z204" s="164">
        <f>IF(AND(Z198&gt;AB198,$AK178&gt;8,$AK177&gt;3,ISNUMBER(Z198),ISNUMBER(AB198)),1,0)</f>
        <v>0</v>
      </c>
      <c r="AA204" s="164"/>
      <c r="AB204" s="165">
        <f>IF(AND(AB198&gt;Z198,$AK178&gt;8,$AK177&gt;3,ISNUMBER(Z198),ISNUMBER(AB198)),1,0)</f>
        <v>0</v>
      </c>
      <c r="AC204" s="164">
        <f>IF(AND(AC198&gt;AE198,$AK178&gt;9,$AK177&gt;3,ISNUMBER(AC198),ISNUMBER(AE198)),1,0)</f>
        <v>0</v>
      </c>
      <c r="AD204" s="164"/>
      <c r="AE204" s="165">
        <f>IF(AND(AE198&gt;AC198,$AK178&gt;9,$AK177&gt;3,ISNUMBER(AC198),ISNUMBER(AE198)),1,0)</f>
        <v>0</v>
      </c>
      <c r="AT204" s="513"/>
      <c r="AU204" s="513"/>
      <c r="AV204" s="513"/>
      <c r="AW204" s="514"/>
      <c r="AX204" s="513"/>
      <c r="AY204" s="513"/>
    </row>
    <row r="205" spans="1:51" s="115" customFormat="1" ht="12.75" hidden="1" customHeight="1">
      <c r="A205" s="115" t="s">
        <v>205</v>
      </c>
      <c r="B205" s="164">
        <f>IF(AND(B199&gt;D199,$AK178&gt;0,$AK177&gt;4,ISNUMBER(B199),ISNUMBER(D199)),1,0)</f>
        <v>0</v>
      </c>
      <c r="C205" s="164"/>
      <c r="D205" s="165">
        <f>IF(AND(D199&gt;B199,$AK178&gt;0,$AK177&gt;4,ISNUMBER(B199),ISNUMBER(D199)),1,0)</f>
        <v>0</v>
      </c>
      <c r="E205" s="164">
        <f>IF(AND(E199&gt;G199,$AK178&gt;1,$AK177&gt;4,ISNUMBER(E199),ISNUMBER(G199)),1,0)</f>
        <v>0</v>
      </c>
      <c r="F205" s="164"/>
      <c r="G205" s="165">
        <f>IF(AND(G199&gt;E199,$AK178&gt;1,$AK177&gt;4,ISNUMBER(E199),ISNUMBER(G199)),1,0)</f>
        <v>0</v>
      </c>
      <c r="H205" s="164">
        <f>IF(AND(H199&gt;J199,$AK178&gt;2,$AK177&gt;4,ISNUMBER(H199),ISNUMBER(J199)),1,0)</f>
        <v>0</v>
      </c>
      <c r="I205" s="164"/>
      <c r="J205" s="165">
        <f>IF(AND(J199&gt;H199,$AK178&gt;2,$AK177&gt;4,ISNUMBER(H199),ISNUMBER(J199)),1,0)</f>
        <v>0</v>
      </c>
      <c r="K205" s="164">
        <f>IF(AND(K199&gt;M199,$AK178&gt;3,$AK177&gt;4,ISNUMBER(K199),ISNUMBER(M199)),1,0)</f>
        <v>0</v>
      </c>
      <c r="L205" s="164"/>
      <c r="M205" s="165">
        <f>IF(AND(M199&gt;K199,$AK178&gt;3,$AK177&gt;4,ISNUMBER(K199),ISNUMBER(M199)),1,0)</f>
        <v>0</v>
      </c>
      <c r="N205" s="164">
        <f>IF(AND(N199&gt;P199,$AK178&gt;4,$AK177&gt;4,ISNUMBER(N199),ISNUMBER(P199)),1,0)</f>
        <v>0</v>
      </c>
      <c r="O205" s="164"/>
      <c r="P205" s="165">
        <f>IF(AND(P199&gt;N199,$AK178&gt;4,$AK177&gt;4,ISNUMBER(N199),ISNUMBER(P199)),1,0)</f>
        <v>0</v>
      </c>
      <c r="Q205" s="164">
        <f>IF(AND(Q199&gt;S199,$AK178&gt;5,$AK177&gt;4,ISNUMBER(Q199),ISNUMBER(S199)),1,0)</f>
        <v>0</v>
      </c>
      <c r="R205" s="164"/>
      <c r="S205" s="165">
        <f>IF(AND(S199&gt;Q199,$AK178&gt;5,$AK177&gt;4,ISNUMBER(Q199),ISNUMBER(S199)),1,0)</f>
        <v>0</v>
      </c>
      <c r="T205" s="164">
        <f>IF(AND(T199&gt;V199,$AK178&gt;6,$AK177&gt;4,ISNUMBER(T199),ISNUMBER(V199)),1,0)</f>
        <v>0</v>
      </c>
      <c r="U205" s="164"/>
      <c r="V205" s="165">
        <f>IF(AND(V199&gt;T199,$AK178&gt;6,$AK177&gt;4,ISNUMBER(T199),ISNUMBER(V199)),1,0)</f>
        <v>0</v>
      </c>
      <c r="W205" s="164">
        <f>IF(AND(W199&gt;Y199,$AK178&gt;7,$AK177&gt;4,ISNUMBER(W199),ISNUMBER(Y199)),1,0)</f>
        <v>0</v>
      </c>
      <c r="X205" s="164"/>
      <c r="Y205" s="165">
        <f>IF(AND(Y199&gt;W199,$AK178&gt;7,$AK177&gt;4,ISNUMBER(W199),ISNUMBER(Y199)),1,0)</f>
        <v>0</v>
      </c>
      <c r="Z205" s="164">
        <f>IF(AND(Z199&gt;AB199,$AK178&gt;8,$AK177&gt;4,ISNUMBER(Z199),ISNUMBER(AB199)),1,0)</f>
        <v>0</v>
      </c>
      <c r="AA205" s="164"/>
      <c r="AB205" s="165">
        <f>IF(AND(AB199&gt;Z199,$AK178&gt;8,$AK177&gt;4,ISNUMBER(Z199),ISNUMBER(AB199)),1,0)</f>
        <v>0</v>
      </c>
      <c r="AC205" s="164">
        <f>IF(AND(AC199&gt;AE199,$AK178&gt;9,$AK177&gt;4,ISNUMBER(AC199),ISNUMBER(AE199)),1,0)</f>
        <v>0</v>
      </c>
      <c r="AD205" s="164"/>
      <c r="AE205" s="165">
        <f>IF(AND(AE199&gt;AC199,$AK178&gt;9,$AK177&gt;4,ISNUMBER(AC199),ISNUMBER(AE199)),1,0)</f>
        <v>0</v>
      </c>
      <c r="AT205" s="513"/>
      <c r="AU205" s="513"/>
      <c r="AV205" s="513"/>
      <c r="AW205" s="514"/>
      <c r="AX205" s="513"/>
      <c r="AY205" s="513"/>
    </row>
    <row r="206" spans="1:51" s="115" customFormat="1" ht="38.25" hidden="1" customHeight="1">
      <c r="A206" s="167" t="s">
        <v>206</v>
      </c>
      <c r="B206" s="115">
        <f>SUM(B201:B205)</f>
        <v>2</v>
      </c>
      <c r="D206" s="168">
        <f>SUM(D201:D205)</f>
        <v>0</v>
      </c>
      <c r="E206" s="115">
        <f>SUM(E201:E205)</f>
        <v>1</v>
      </c>
      <c r="G206" s="168">
        <f>SUM(G201:G205)</f>
        <v>1</v>
      </c>
      <c r="H206" s="115">
        <f>SUM(H201:H205)</f>
        <v>2</v>
      </c>
      <c r="J206" s="168">
        <f>SUM(J201:J205)</f>
        <v>0</v>
      </c>
      <c r="K206" s="115">
        <f>SUM(K201:K205)</f>
        <v>0</v>
      </c>
      <c r="M206" s="168">
        <f>SUM(M201:M205)</f>
        <v>0</v>
      </c>
      <c r="N206" s="115">
        <f>SUM(N201:N205)</f>
        <v>0</v>
      </c>
      <c r="P206" s="168">
        <f>SUM(P201:P205)</f>
        <v>0</v>
      </c>
      <c r="Q206" s="115">
        <f>SUM(Q201:Q205)</f>
        <v>0</v>
      </c>
      <c r="S206" s="168">
        <f>SUM(S201:S205)</f>
        <v>0</v>
      </c>
      <c r="T206" s="115">
        <f>SUM(T201:T205)</f>
        <v>0</v>
      </c>
      <c r="V206" s="168">
        <f>SUM(V201:V205)</f>
        <v>0</v>
      </c>
      <c r="W206" s="115">
        <f>SUM(W201:W205)</f>
        <v>0</v>
      </c>
      <c r="Y206" s="168">
        <f>SUM(Y201:Y205)</f>
        <v>0</v>
      </c>
      <c r="Z206" s="115">
        <f>SUM(Z201:Z205)</f>
        <v>0</v>
      </c>
      <c r="AB206" s="168">
        <f>SUM(AB201:AB205)</f>
        <v>0</v>
      </c>
      <c r="AC206" s="115">
        <f>SUM(AC201:AC205)</f>
        <v>0</v>
      </c>
      <c r="AE206" s="168">
        <f>SUM(AE201:AE205)</f>
        <v>0</v>
      </c>
      <c r="AT206" s="513"/>
      <c r="AU206" s="513"/>
      <c r="AV206" s="513"/>
      <c r="AW206" s="514"/>
      <c r="AX206" s="513"/>
      <c r="AY206" s="513"/>
    </row>
    <row r="207" spans="1:51" s="115" customFormat="1" ht="25.5" hidden="1" customHeight="1">
      <c r="A207" s="167" t="s">
        <v>207</v>
      </c>
      <c r="B207" s="115">
        <f>IF(B206&gt;D206,IF(C241=AK177,1,IF(C241=AK177-1,1,0)),0)</f>
        <v>1</v>
      </c>
      <c r="C207" s="115">
        <f>B207+D207</f>
        <v>1</v>
      </c>
      <c r="D207" s="168">
        <f>IF(D206&gt;B206,IF(C241=AK177,1,IF(C241=AK177-1,1,0)),0)</f>
        <v>0</v>
      </c>
      <c r="E207" s="115">
        <f>IF(E206&gt;G206,IF(F241=AK177,1,IF(F241=AK177-1,1,0)),0)</f>
        <v>0</v>
      </c>
      <c r="F207" s="115">
        <f>E207+G207</f>
        <v>0</v>
      </c>
      <c r="G207" s="168">
        <f>IF(G206&gt;E206,IF(F241=AK177,1,IF(F241=AK177-1,1,0)),0)</f>
        <v>0</v>
      </c>
      <c r="H207" s="115">
        <f>IF(H206&gt;J206,IF(I241=AK177,1,IF(I241=AK177-1,1,0)),0)</f>
        <v>1</v>
      </c>
      <c r="I207" s="115">
        <f>H207+J207</f>
        <v>1</v>
      </c>
      <c r="J207" s="168">
        <f>IF(J206&gt;H206,IF(I241=AK177,1,IF(I241=AK177-1,1,0)),0)</f>
        <v>0</v>
      </c>
      <c r="K207" s="115">
        <f>IF(K206&gt;M206,IF(L241=AK177,1,IF(L241=AK177-1,1,0)),0)</f>
        <v>0</v>
      </c>
      <c r="L207" s="115">
        <f>K207+M207</f>
        <v>0</v>
      </c>
      <c r="M207" s="168">
        <f>IF(M206&gt;K206,IF(L241=AK177,1,IF(L241=AK177-1,1,0)),0)</f>
        <v>0</v>
      </c>
      <c r="N207" s="115">
        <f>IF(N206&gt;P206,IF(O241=AK177,1,IF(O241=AK177-1,1,0)),0)</f>
        <v>0</v>
      </c>
      <c r="O207" s="115">
        <f>N207+P207</f>
        <v>0</v>
      </c>
      <c r="P207" s="168">
        <f>IF(P206&gt;N206,IF(O241=AK177,1,IF(O241=AK177-1,1,0)),0)</f>
        <v>0</v>
      </c>
      <c r="Q207" s="115">
        <f>IF(Q206&gt;S206,IF(R241=AK177,1,IF(R241=AK177-1,1,0)),0)</f>
        <v>0</v>
      </c>
      <c r="R207" s="115">
        <f>Q207+S207</f>
        <v>0</v>
      </c>
      <c r="S207" s="168">
        <f>IF(S206&gt;Q206,IF(R241=AK177,1,IF(R241=AK177-1,1,0)),0)</f>
        <v>0</v>
      </c>
      <c r="T207" s="115">
        <f>IF(T206&gt;V206,IF(U241=AK177,1,IF(U241=AK177-1,1,0)),0)</f>
        <v>0</v>
      </c>
      <c r="U207" s="115">
        <f>T207+V207</f>
        <v>0</v>
      </c>
      <c r="V207" s="168">
        <f>IF(V206&gt;T206,IF(U241=AK177,1,IF(U241=AK177-1,1,0)),0)</f>
        <v>0</v>
      </c>
      <c r="W207" s="115">
        <f>IF(W206&gt;Y206,IF(X241=AK177,1,IF(X241=AK177-1,1,0)),0)</f>
        <v>0</v>
      </c>
      <c r="X207" s="115">
        <f>W207+Y207</f>
        <v>0</v>
      </c>
      <c r="Y207" s="168">
        <f>IF(Y206&gt;W206,IF(X241=AK177,1,IF(X241=AK177-1,1,0)),0)</f>
        <v>0</v>
      </c>
      <c r="Z207" s="115">
        <f>IF(Z206&gt;AB206,IF(AA241=AK177,1,IF(AA241=AK177-1,1,0)),0)</f>
        <v>0</v>
      </c>
      <c r="AA207" s="115">
        <f>Z207+AB207</f>
        <v>0</v>
      </c>
      <c r="AB207" s="168">
        <f>IF(AB206&gt;Z206,IF(AA241=AK177,1,IF(AA241=AK177-1,1,0)),0)</f>
        <v>0</v>
      </c>
      <c r="AC207" s="115">
        <f>IF(AC206&gt;AE206,IF(AD241=AK177,1,IF(AD241=AK177-1,1,0)),0)</f>
        <v>0</v>
      </c>
      <c r="AD207" s="115">
        <f>AC207+AE207</f>
        <v>0</v>
      </c>
      <c r="AE207" s="168">
        <f>IF(AE206&gt;AC206,IF(AD241=AK177,1,IF(AD241=AK177-1,1,0)),0)</f>
        <v>0</v>
      </c>
      <c r="AT207" s="513"/>
      <c r="AU207" s="513"/>
      <c r="AV207" s="513"/>
      <c r="AW207" s="514"/>
      <c r="AX207" s="513"/>
      <c r="AY207" s="513"/>
    </row>
    <row r="208" spans="1:51" s="115" customFormat="1" ht="25.5" hidden="1" customHeight="1">
      <c r="A208" s="167"/>
      <c r="D208" s="168"/>
      <c r="G208" s="168"/>
      <c r="J208" s="168"/>
      <c r="M208" s="168"/>
      <c r="P208" s="168"/>
      <c r="S208" s="168"/>
      <c r="V208" s="168"/>
      <c r="Y208" s="168"/>
      <c r="AB208" s="168"/>
      <c r="AE208" s="168"/>
      <c r="AT208" s="513"/>
      <c r="AU208" s="513"/>
      <c r="AV208" s="513"/>
      <c r="AW208" s="514"/>
      <c r="AX208" s="513"/>
      <c r="AY208" s="513"/>
    </row>
    <row r="209" spans="1:51" s="115" customFormat="1" ht="12.75" hidden="1" customHeight="1">
      <c r="A209" s="115" t="s">
        <v>208</v>
      </c>
      <c r="B209" s="115">
        <f>IF(B201=1,B195,0)</f>
        <v>17</v>
      </c>
      <c r="D209" s="168">
        <f t="shared" ref="D209:E213" si="20">IF(D201=1,D195,0)</f>
        <v>0</v>
      </c>
      <c r="E209" s="115">
        <f t="shared" si="20"/>
        <v>0</v>
      </c>
      <c r="G209" s="168">
        <f t="shared" ref="G209:H213" si="21">IF(G201=1,G195,0)</f>
        <v>18</v>
      </c>
      <c r="H209" s="115">
        <f t="shared" si="21"/>
        <v>18</v>
      </c>
      <c r="J209" s="168">
        <f t="shared" ref="J209:K213" si="22">IF(J201=1,J195,0)</f>
        <v>0</v>
      </c>
      <c r="K209" s="115">
        <f t="shared" si="22"/>
        <v>0</v>
      </c>
      <c r="M209" s="168">
        <f t="shared" ref="M209:N213" si="23">IF(M201=1,M195,0)</f>
        <v>0</v>
      </c>
      <c r="N209" s="115">
        <f t="shared" si="23"/>
        <v>0</v>
      </c>
      <c r="P209" s="168">
        <f t="shared" ref="P209:Q213" si="24">IF(P201=1,P195,0)</f>
        <v>0</v>
      </c>
      <c r="Q209" s="115">
        <f t="shared" si="24"/>
        <v>0</v>
      </c>
      <c r="S209" s="168">
        <f t="shared" ref="S209:T213" si="25">IF(S201=1,S195,0)</f>
        <v>0</v>
      </c>
      <c r="T209" s="115">
        <f t="shared" si="25"/>
        <v>0</v>
      </c>
      <c r="V209" s="168">
        <f t="shared" ref="V209:W213" si="26">IF(V201=1,V195,0)</f>
        <v>0</v>
      </c>
      <c r="W209" s="115">
        <f t="shared" si="26"/>
        <v>0</v>
      </c>
      <c r="Y209" s="168">
        <f t="shared" ref="Y209:Z213" si="27">IF(Y201=1,Y195,0)</f>
        <v>0</v>
      </c>
      <c r="Z209" s="115">
        <f t="shared" si="27"/>
        <v>0</v>
      </c>
      <c r="AB209" s="168">
        <f t="shared" ref="AB209:AC213" si="28">IF(AB201=1,AB195,0)</f>
        <v>0</v>
      </c>
      <c r="AC209" s="115">
        <f t="shared" si="28"/>
        <v>0</v>
      </c>
      <c r="AE209" s="168">
        <f>IF(AE201=1,AE195,0)</f>
        <v>0</v>
      </c>
      <c r="AT209" s="513"/>
      <c r="AU209" s="513"/>
      <c r="AV209" s="513"/>
      <c r="AW209" s="514"/>
      <c r="AX209" s="513"/>
      <c r="AY209" s="513"/>
    </row>
    <row r="210" spans="1:51" s="115" customFormat="1" ht="12.75" hidden="1" customHeight="1">
      <c r="A210" s="115" t="s">
        <v>209</v>
      </c>
      <c r="B210" s="115">
        <f>IF(B202=1,B196,0)</f>
        <v>23</v>
      </c>
      <c r="D210" s="168">
        <f t="shared" si="20"/>
        <v>0</v>
      </c>
      <c r="E210" s="115">
        <f t="shared" si="20"/>
        <v>20</v>
      </c>
      <c r="G210" s="168">
        <f t="shared" si="21"/>
        <v>0</v>
      </c>
      <c r="H210" s="115">
        <f t="shared" si="21"/>
        <v>19</v>
      </c>
      <c r="J210" s="168">
        <f t="shared" si="22"/>
        <v>0</v>
      </c>
      <c r="K210" s="115">
        <f t="shared" si="22"/>
        <v>0</v>
      </c>
      <c r="M210" s="168">
        <f t="shared" si="23"/>
        <v>0</v>
      </c>
      <c r="N210" s="115">
        <f t="shared" si="23"/>
        <v>0</v>
      </c>
      <c r="P210" s="168">
        <f t="shared" si="24"/>
        <v>0</v>
      </c>
      <c r="Q210" s="115">
        <f t="shared" si="24"/>
        <v>0</v>
      </c>
      <c r="S210" s="168">
        <f t="shared" si="25"/>
        <v>0</v>
      </c>
      <c r="T210" s="115">
        <f t="shared" si="25"/>
        <v>0</v>
      </c>
      <c r="V210" s="168">
        <f t="shared" si="26"/>
        <v>0</v>
      </c>
      <c r="W210" s="115">
        <f t="shared" si="26"/>
        <v>0</v>
      </c>
      <c r="Y210" s="168">
        <f t="shared" si="27"/>
        <v>0</v>
      </c>
      <c r="Z210" s="115">
        <f t="shared" si="27"/>
        <v>0</v>
      </c>
      <c r="AB210" s="168">
        <f t="shared" si="28"/>
        <v>0</v>
      </c>
      <c r="AC210" s="115">
        <f t="shared" si="28"/>
        <v>0</v>
      </c>
      <c r="AE210" s="168">
        <f>IF(AE202=1,AE196,0)</f>
        <v>0</v>
      </c>
      <c r="AT210" s="513"/>
      <c r="AU210" s="513"/>
      <c r="AV210" s="513"/>
      <c r="AW210" s="514"/>
      <c r="AX210" s="513"/>
      <c r="AY210" s="513"/>
    </row>
    <row r="211" spans="1:51" s="115" customFormat="1" ht="12.75" hidden="1" customHeight="1">
      <c r="A211" s="115" t="s">
        <v>210</v>
      </c>
      <c r="B211" s="115">
        <f>IF(B203=1,B197,0)</f>
        <v>0</v>
      </c>
      <c r="D211" s="168">
        <f t="shared" si="20"/>
        <v>0</v>
      </c>
      <c r="E211" s="115">
        <f t="shared" si="20"/>
        <v>0</v>
      </c>
      <c r="G211" s="168">
        <f t="shared" si="21"/>
        <v>0</v>
      </c>
      <c r="H211" s="115">
        <f t="shared" si="21"/>
        <v>0</v>
      </c>
      <c r="J211" s="168">
        <f t="shared" si="22"/>
        <v>0</v>
      </c>
      <c r="K211" s="115">
        <f t="shared" si="22"/>
        <v>0</v>
      </c>
      <c r="M211" s="168">
        <f t="shared" si="23"/>
        <v>0</v>
      </c>
      <c r="N211" s="115">
        <f t="shared" si="23"/>
        <v>0</v>
      </c>
      <c r="P211" s="168">
        <f t="shared" si="24"/>
        <v>0</v>
      </c>
      <c r="Q211" s="115">
        <f t="shared" si="24"/>
        <v>0</v>
      </c>
      <c r="S211" s="168">
        <f t="shared" si="25"/>
        <v>0</v>
      </c>
      <c r="T211" s="115">
        <f t="shared" si="25"/>
        <v>0</v>
      </c>
      <c r="V211" s="168">
        <f t="shared" si="26"/>
        <v>0</v>
      </c>
      <c r="W211" s="115">
        <f t="shared" si="26"/>
        <v>0</v>
      </c>
      <c r="Y211" s="168">
        <f t="shared" si="27"/>
        <v>0</v>
      </c>
      <c r="Z211" s="115">
        <f t="shared" si="27"/>
        <v>0</v>
      </c>
      <c r="AB211" s="168">
        <f t="shared" si="28"/>
        <v>0</v>
      </c>
      <c r="AC211" s="115">
        <f t="shared" si="28"/>
        <v>0</v>
      </c>
      <c r="AE211" s="168">
        <f>IF(AE203=1,AE197,0)</f>
        <v>0</v>
      </c>
      <c r="AT211" s="513"/>
      <c r="AU211" s="513"/>
      <c r="AV211" s="513"/>
      <c r="AW211" s="514"/>
      <c r="AX211" s="513"/>
      <c r="AY211" s="513"/>
    </row>
    <row r="212" spans="1:51" s="115" customFormat="1" ht="12.75" hidden="1" customHeight="1">
      <c r="A212" s="115" t="s">
        <v>211</v>
      </c>
      <c r="B212" s="115">
        <f>IF(B204=1,B198,0)</f>
        <v>0</v>
      </c>
      <c r="D212" s="168">
        <f t="shared" si="20"/>
        <v>0</v>
      </c>
      <c r="E212" s="115">
        <f t="shared" si="20"/>
        <v>0</v>
      </c>
      <c r="G212" s="168">
        <f t="shared" si="21"/>
        <v>0</v>
      </c>
      <c r="H212" s="115">
        <f t="shared" si="21"/>
        <v>0</v>
      </c>
      <c r="J212" s="168">
        <f t="shared" si="22"/>
        <v>0</v>
      </c>
      <c r="K212" s="115">
        <f t="shared" si="22"/>
        <v>0</v>
      </c>
      <c r="M212" s="168">
        <f t="shared" si="23"/>
        <v>0</v>
      </c>
      <c r="N212" s="115">
        <f t="shared" si="23"/>
        <v>0</v>
      </c>
      <c r="P212" s="168">
        <f t="shared" si="24"/>
        <v>0</v>
      </c>
      <c r="Q212" s="115">
        <f t="shared" si="24"/>
        <v>0</v>
      </c>
      <c r="S212" s="168">
        <f t="shared" si="25"/>
        <v>0</v>
      </c>
      <c r="T212" s="115">
        <f t="shared" si="25"/>
        <v>0</v>
      </c>
      <c r="V212" s="168">
        <f t="shared" si="26"/>
        <v>0</v>
      </c>
      <c r="W212" s="115">
        <f t="shared" si="26"/>
        <v>0</v>
      </c>
      <c r="Y212" s="168">
        <f t="shared" si="27"/>
        <v>0</v>
      </c>
      <c r="Z212" s="115">
        <f t="shared" si="27"/>
        <v>0</v>
      </c>
      <c r="AB212" s="168">
        <f t="shared" si="28"/>
        <v>0</v>
      </c>
      <c r="AC212" s="115">
        <f t="shared" si="28"/>
        <v>0</v>
      </c>
      <c r="AE212" s="168">
        <f>IF(AE204=1,AE198,0)</f>
        <v>0</v>
      </c>
      <c r="AT212" s="513"/>
      <c r="AU212" s="513"/>
      <c r="AV212" s="513"/>
      <c r="AW212" s="514"/>
      <c r="AX212" s="513"/>
      <c r="AY212" s="513"/>
    </row>
    <row r="213" spans="1:51" s="115" customFormat="1" ht="12.75" hidden="1" customHeight="1">
      <c r="A213" s="115" t="s">
        <v>212</v>
      </c>
      <c r="B213" s="115">
        <f>IF(B205=1,B199,0)</f>
        <v>0</v>
      </c>
      <c r="D213" s="168">
        <f t="shared" si="20"/>
        <v>0</v>
      </c>
      <c r="E213" s="115">
        <f t="shared" si="20"/>
        <v>0</v>
      </c>
      <c r="G213" s="168">
        <f t="shared" si="21"/>
        <v>0</v>
      </c>
      <c r="H213" s="115">
        <f t="shared" si="21"/>
        <v>0</v>
      </c>
      <c r="J213" s="168">
        <f t="shared" si="22"/>
        <v>0</v>
      </c>
      <c r="K213" s="115">
        <f t="shared" si="22"/>
        <v>0</v>
      </c>
      <c r="M213" s="168">
        <f t="shared" si="23"/>
        <v>0</v>
      </c>
      <c r="N213" s="115">
        <f t="shared" si="23"/>
        <v>0</v>
      </c>
      <c r="P213" s="168">
        <f t="shared" si="24"/>
        <v>0</v>
      </c>
      <c r="Q213" s="115">
        <f t="shared" si="24"/>
        <v>0</v>
      </c>
      <c r="S213" s="168">
        <f t="shared" si="25"/>
        <v>0</v>
      </c>
      <c r="T213" s="115">
        <f t="shared" si="25"/>
        <v>0</v>
      </c>
      <c r="V213" s="168">
        <f t="shared" si="26"/>
        <v>0</v>
      </c>
      <c r="W213" s="115">
        <f t="shared" si="26"/>
        <v>0</v>
      </c>
      <c r="Y213" s="168">
        <f t="shared" si="27"/>
        <v>0</v>
      </c>
      <c r="Z213" s="115">
        <f t="shared" si="27"/>
        <v>0</v>
      </c>
      <c r="AB213" s="168">
        <f t="shared" si="28"/>
        <v>0</v>
      </c>
      <c r="AC213" s="115">
        <f t="shared" si="28"/>
        <v>0</v>
      </c>
      <c r="AE213" s="168">
        <f>IF(AE205=1,AE199,0)</f>
        <v>0</v>
      </c>
      <c r="AT213" s="513"/>
      <c r="AU213" s="513"/>
      <c r="AV213" s="513"/>
      <c r="AW213" s="514"/>
      <c r="AX213" s="513"/>
      <c r="AY213" s="513"/>
    </row>
    <row r="214" spans="1:51" s="115" customFormat="1" ht="38.25" hidden="1" customHeight="1">
      <c r="A214" s="167" t="s">
        <v>213</v>
      </c>
      <c r="B214" s="115">
        <f>SUM(B209:D213)</f>
        <v>40</v>
      </c>
      <c r="D214" s="168"/>
      <c r="E214" s="115">
        <f>SUM(E209:G213)</f>
        <v>38</v>
      </c>
      <c r="G214" s="168"/>
      <c r="H214" s="115">
        <f>SUM(H209:J213)</f>
        <v>37</v>
      </c>
      <c r="J214" s="168"/>
      <c r="K214" s="115">
        <f>SUM(K209:M213)</f>
        <v>0</v>
      </c>
      <c r="M214" s="168"/>
      <c r="N214" s="115">
        <f>SUM(N209:P213)</f>
        <v>0</v>
      </c>
      <c r="P214" s="168"/>
      <c r="Q214" s="115">
        <f>SUM(Q209:S213)</f>
        <v>0</v>
      </c>
      <c r="S214" s="168"/>
      <c r="T214" s="115">
        <f>SUM(T209:V213)</f>
        <v>0</v>
      </c>
      <c r="V214" s="168"/>
      <c r="W214" s="115">
        <f>SUM(W209:Y213)</f>
        <v>0</v>
      </c>
      <c r="Y214" s="168"/>
      <c r="Z214" s="115">
        <f>SUM(Z209:AB213)</f>
        <v>0</v>
      </c>
      <c r="AB214" s="168"/>
      <c r="AC214" s="115">
        <f>SUM(AC209:AE213)</f>
        <v>0</v>
      </c>
      <c r="AE214" s="168"/>
      <c r="AT214" s="513"/>
      <c r="AU214" s="513"/>
      <c r="AV214" s="513"/>
      <c r="AW214" s="514"/>
      <c r="AX214" s="513"/>
      <c r="AY214" s="513"/>
    </row>
    <row r="215" spans="1:51" s="115" customFormat="1" ht="38.25" hidden="1" customHeight="1">
      <c r="A215" s="115" t="s">
        <v>214</v>
      </c>
      <c r="D215" s="168"/>
      <c r="G215" s="168"/>
      <c r="J215" s="168"/>
      <c r="M215" s="168"/>
      <c r="P215" s="168"/>
      <c r="S215" s="168"/>
      <c r="V215" s="168"/>
      <c r="Y215" s="168"/>
      <c r="AB215" s="168"/>
      <c r="AE215" s="168"/>
      <c r="AF215" s="167" t="s">
        <v>215</v>
      </c>
      <c r="AG215" s="115" t="s">
        <v>216</v>
      </c>
      <c r="AT215" s="513"/>
      <c r="AU215" s="513"/>
      <c r="AV215" s="513"/>
      <c r="AW215" s="514"/>
      <c r="AX215" s="513"/>
      <c r="AY215" s="513"/>
    </row>
    <row r="216" spans="1:51" s="115" customFormat="1" ht="12.75" hidden="1" customHeight="1">
      <c r="A216" s="115" t="s">
        <v>38</v>
      </c>
      <c r="B216" s="115">
        <f>IF(B194=1,IF(B207=1,1,0),0)</f>
        <v>1</v>
      </c>
      <c r="D216" s="168">
        <f>IF(D194=1,IF(D207=1,1,0),0)</f>
        <v>0</v>
      </c>
      <c r="E216" s="115">
        <f>IF(E194=1,IF(E207=1,1,0),0)</f>
        <v>0</v>
      </c>
      <c r="G216" s="168">
        <f>IF(G194=1,IF(G207=1,1,0),0)</f>
        <v>0</v>
      </c>
      <c r="H216" s="115">
        <f>IF(H194=1,IF(H207=1,1,0),0)</f>
        <v>1</v>
      </c>
      <c r="J216" s="168">
        <f>IF(J194=1,IF(J207=1,1,0),0)</f>
        <v>0</v>
      </c>
      <c r="K216" s="115">
        <f>IF(K194=1,IF(K207=1,1,0),0)</f>
        <v>0</v>
      </c>
      <c r="M216" s="168">
        <f>IF(M194=1,IF(M207=1,1,0),0)</f>
        <v>0</v>
      </c>
      <c r="N216" s="115">
        <f>IF(N194=1,IF(N207=1,1,0),0)</f>
        <v>0</v>
      </c>
      <c r="P216" s="168">
        <f>IF(P194=1,IF(P207=1,1,0),0)</f>
        <v>0</v>
      </c>
      <c r="Q216" s="115">
        <f>IF(Q194=1,IF(Q207=1,1,0),0)</f>
        <v>0</v>
      </c>
      <c r="S216" s="168">
        <f>IF(S194=1,IF(S207=1,1,0),0)</f>
        <v>0</v>
      </c>
      <c r="T216" s="115">
        <f>IF(T194=1,IF(T207=1,1,0),0)</f>
        <v>0</v>
      </c>
      <c r="V216" s="168">
        <f>IF(V194=1,IF(V207=1,1,0),0)</f>
        <v>0</v>
      </c>
      <c r="W216" s="115">
        <f>IF(W194=1,IF(W207=1,1,0),0)</f>
        <v>0</v>
      </c>
      <c r="Y216" s="168">
        <f>IF(Y194=1,IF(Y207=1,1,0),0)</f>
        <v>0</v>
      </c>
      <c r="Z216" s="115">
        <f>IF(Z194=1,IF(Z207=1,1,0),0)</f>
        <v>0</v>
      </c>
      <c r="AB216" s="168">
        <f>IF(AB194=1,IF(AB207=1,1,0),0)</f>
        <v>0</v>
      </c>
      <c r="AC216" s="115">
        <f>IF(AC194=1,IF(AC207=1,1,0),0)</f>
        <v>0</v>
      </c>
      <c r="AE216" s="168">
        <f>IF(AE194=1,IF(AE207=1,1,0),0)</f>
        <v>0</v>
      </c>
      <c r="AF216" s="115">
        <f>SUM(B216:AE216)</f>
        <v>2</v>
      </c>
      <c r="AG216" s="115">
        <f>AF222-AF216</f>
        <v>0</v>
      </c>
      <c r="AT216" s="513"/>
      <c r="AU216" s="513"/>
      <c r="AV216" s="513"/>
      <c r="AW216" s="514"/>
      <c r="AX216" s="513"/>
      <c r="AY216" s="513"/>
    </row>
    <row r="217" spans="1:51" s="115" customFormat="1" ht="12.75" hidden="1" customHeight="1">
      <c r="A217" s="115" t="s">
        <v>39</v>
      </c>
      <c r="B217" s="115">
        <f>IF(B194=2,IF(B207=1,1,0),0)</f>
        <v>0</v>
      </c>
      <c r="D217" s="168">
        <f>IF(D194=2,IF(D207=1,1,0),0)</f>
        <v>0</v>
      </c>
      <c r="E217" s="115">
        <f>IF(E194=2,IF(E207=1,1,0),0)</f>
        <v>0</v>
      </c>
      <c r="G217" s="168">
        <f>IF(G194=2,IF(G207=1,1,0),0)</f>
        <v>0</v>
      </c>
      <c r="H217" s="115">
        <f>IF(H194=2,IF(H207=1,1,0),0)</f>
        <v>0</v>
      </c>
      <c r="J217" s="168">
        <f>IF(J194=2,IF(J207=1,1,0),0)</f>
        <v>0</v>
      </c>
      <c r="K217" s="115">
        <f>IF(K194=2,IF(K207=1,1,0),0)</f>
        <v>0</v>
      </c>
      <c r="M217" s="168">
        <f>IF(M194=2,IF(M207=1,1,0),0)</f>
        <v>0</v>
      </c>
      <c r="N217" s="115">
        <f>IF(N194=2,IF(N207=1,1,0),0)</f>
        <v>0</v>
      </c>
      <c r="P217" s="168">
        <f>IF(P194=2,IF(P207=1,1,0),0)</f>
        <v>0</v>
      </c>
      <c r="Q217" s="115">
        <f>IF(Q194=2,IF(Q207=1,1,0),0)</f>
        <v>0</v>
      </c>
      <c r="S217" s="168">
        <f>IF(S194=2,IF(S207=1,1,0),0)</f>
        <v>0</v>
      </c>
      <c r="T217" s="115">
        <f>IF(T194=2,IF(T207=1,1,0),0)</f>
        <v>0</v>
      </c>
      <c r="V217" s="168">
        <f>IF(V194=2,IF(V207=1,1,0),0)</f>
        <v>0</v>
      </c>
      <c r="W217" s="115">
        <f>IF(W194=2,IF(W207=1,1,0),0)</f>
        <v>0</v>
      </c>
      <c r="Y217" s="168">
        <f>IF(Y194=2,IF(Y207=1,1,0),0)</f>
        <v>0</v>
      </c>
      <c r="Z217" s="115">
        <f>IF(Z194=2,IF(Z207=1,1,0),0)</f>
        <v>0</v>
      </c>
      <c r="AB217" s="168">
        <f>IF(AB194=2,IF(AB207=1,1,0),0)</f>
        <v>0</v>
      </c>
      <c r="AC217" s="115">
        <f>IF(AC194=2,IF(AC207=1,1,0),0)</f>
        <v>0</v>
      </c>
      <c r="AE217" s="168">
        <f>IF(AE194=2,IF(AE207=1,1,0),0)</f>
        <v>0</v>
      </c>
      <c r="AF217" s="115">
        <f>SUM(B217:AE217)</f>
        <v>0</v>
      </c>
      <c r="AG217" s="115">
        <f>AF223-AF217</f>
        <v>1</v>
      </c>
      <c r="AT217" s="513"/>
      <c r="AU217" s="513"/>
      <c r="AV217" s="513"/>
      <c r="AW217" s="514"/>
      <c r="AX217" s="513"/>
      <c r="AY217" s="513"/>
    </row>
    <row r="218" spans="1:51" s="115" customFormat="1" ht="12.75" hidden="1" customHeight="1">
      <c r="A218" s="115" t="s">
        <v>40</v>
      </c>
      <c r="B218" s="115">
        <f>IF(B194=3,IF(B207=1,1,0),0)</f>
        <v>0</v>
      </c>
      <c r="D218" s="168">
        <f>IF(D194=3,IF(D207=1,1,0),0)</f>
        <v>0</v>
      </c>
      <c r="E218" s="115">
        <f>IF(E194=3,IF(E207=1,1,0),0)</f>
        <v>0</v>
      </c>
      <c r="G218" s="168">
        <f>IF(G194=3,IF(G207=1,1,0),0)</f>
        <v>0</v>
      </c>
      <c r="H218" s="115">
        <f>IF(H194=3,IF(H207=1,1,0),0)</f>
        <v>0</v>
      </c>
      <c r="J218" s="168">
        <f>IF(J194=3,IF(J207=1,1,0),0)</f>
        <v>0</v>
      </c>
      <c r="K218" s="115">
        <f>IF(K194=3,IF(K207=1,1,0),0)</f>
        <v>0</v>
      </c>
      <c r="M218" s="168">
        <f>IF(M194=3,IF(M207=1,1,0),0)</f>
        <v>0</v>
      </c>
      <c r="N218" s="115">
        <f>IF(N194=3,IF(N207=1,1,0),0)</f>
        <v>0</v>
      </c>
      <c r="P218" s="168">
        <f>IF(P194=3,IF(P207=1,1,0),0)</f>
        <v>0</v>
      </c>
      <c r="Q218" s="115">
        <f>IF(Q194=3,IF(Q207=1,1,0),0)</f>
        <v>0</v>
      </c>
      <c r="S218" s="168">
        <f>IF(S194=3,IF(S207=1,1,0),0)</f>
        <v>0</v>
      </c>
      <c r="T218" s="115">
        <f>IF(T194=3,IF(T207=1,1,0),0)</f>
        <v>0</v>
      </c>
      <c r="V218" s="168">
        <f>IF(V194=3,IF(V207=1,1,0),0)</f>
        <v>0</v>
      </c>
      <c r="W218" s="115">
        <f>IF(W194=3,IF(W207=1,1,0),0)</f>
        <v>0</v>
      </c>
      <c r="Y218" s="168">
        <f>IF(Y194=3,IF(Y207=1,1,0),0)</f>
        <v>0</v>
      </c>
      <c r="Z218" s="115">
        <f>IF(Z194=3,IF(Z207=1,1,0),0)</f>
        <v>0</v>
      </c>
      <c r="AB218" s="168">
        <f>IF(AB194=3,IF(AB207=1,1,0),0)</f>
        <v>0</v>
      </c>
      <c r="AC218" s="115">
        <f>IF(AC194=3,IF(AC207=1,1,0),0)</f>
        <v>0</v>
      </c>
      <c r="AE218" s="168">
        <f>IF(AE194=3,IF(AE207=1,1,0),0)</f>
        <v>0</v>
      </c>
      <c r="AF218" s="115">
        <f>SUM(B218:AE218)</f>
        <v>0</v>
      </c>
      <c r="AG218" s="115">
        <f>AF224-AF218</f>
        <v>1</v>
      </c>
      <c r="AT218" s="513"/>
      <c r="AU218" s="513"/>
      <c r="AV218" s="513"/>
      <c r="AW218" s="514"/>
      <c r="AX218" s="513"/>
      <c r="AY218" s="513"/>
    </row>
    <row r="219" spans="1:51" s="115" customFormat="1" ht="12.75" hidden="1" customHeight="1">
      <c r="A219" s="115" t="s">
        <v>41</v>
      </c>
      <c r="B219" s="115">
        <f>IF(B194=4,IF(B207=1,1,0),0)</f>
        <v>0</v>
      </c>
      <c r="D219" s="168">
        <f>IF(D194=4,IF(D207=1,1,0),0)</f>
        <v>0</v>
      </c>
      <c r="E219" s="115">
        <f>IF(E194=4,IF(E207=1,1,0),0)</f>
        <v>0</v>
      </c>
      <c r="G219" s="168">
        <f>IF(G194=4,IF(G207=1,1,0),0)</f>
        <v>0</v>
      </c>
      <c r="H219" s="115">
        <f>IF(H194=4,IF(H207=1,1,0),0)</f>
        <v>0</v>
      </c>
      <c r="J219" s="168">
        <f>IF(J194=4,IF(J207=1,1,0),0)</f>
        <v>0</v>
      </c>
      <c r="K219" s="115">
        <f>IF(K194=4,IF(K207=1,1,0),0)</f>
        <v>0</v>
      </c>
      <c r="M219" s="168">
        <f>IF(M194=4,IF(M207=1,1,0),0)</f>
        <v>0</v>
      </c>
      <c r="N219" s="115">
        <f>IF(N194=4,IF(N207=1,1,0),0)</f>
        <v>0</v>
      </c>
      <c r="P219" s="168">
        <f>IF(P194=4,IF(P207=1,1,0),0)</f>
        <v>0</v>
      </c>
      <c r="Q219" s="115">
        <f>IF(Q194=4,IF(Q207=1,1,0),0)</f>
        <v>0</v>
      </c>
      <c r="S219" s="168">
        <f>IF(S194=4,IF(S207=1,1,0),0)</f>
        <v>0</v>
      </c>
      <c r="T219" s="115">
        <f>IF(T194=4,IF(T207=1,1,0),0)</f>
        <v>0</v>
      </c>
      <c r="V219" s="168">
        <f>IF(V194=4,IF(V207=1,1,0),0)</f>
        <v>0</v>
      </c>
      <c r="W219" s="115">
        <f>IF(W194=4,IF(W207=1,1,0),0)</f>
        <v>0</v>
      </c>
      <c r="Y219" s="168">
        <f>IF(Y194=4,IF(Y207=1,1,0),0)</f>
        <v>0</v>
      </c>
      <c r="Z219" s="115">
        <f>IF(Z194=4,IF(Z207=1,1,0),0)</f>
        <v>0</v>
      </c>
      <c r="AB219" s="168">
        <f>IF(AB194=4,IF(AB207=1,1,0),0)</f>
        <v>0</v>
      </c>
      <c r="AC219" s="115">
        <f>IF(AC194=4,IF(AC207=1,1,0),0)</f>
        <v>0</v>
      </c>
      <c r="AE219" s="168">
        <f>IF(AE194=4,IF(AE207=1,1,0),0)</f>
        <v>0</v>
      </c>
      <c r="AF219" s="115">
        <f>SUM(B219:AE219)</f>
        <v>0</v>
      </c>
      <c r="AG219" s="115">
        <f>AF225-AF219</f>
        <v>0</v>
      </c>
      <c r="AT219" s="513"/>
      <c r="AU219" s="513"/>
      <c r="AV219" s="513"/>
      <c r="AW219" s="514"/>
      <c r="AX219" s="513"/>
      <c r="AY219" s="513"/>
    </row>
    <row r="220" spans="1:51" s="115" customFormat="1" ht="12.75" hidden="1" customHeight="1">
      <c r="A220" s="115" t="s">
        <v>42</v>
      </c>
      <c r="B220" s="115">
        <f>IF(B194=5,IF(B207=1,1,0),0)</f>
        <v>0</v>
      </c>
      <c r="D220" s="168">
        <f>IF(D194=5,IF(D207=1,1,0),0)</f>
        <v>0</v>
      </c>
      <c r="E220" s="115">
        <f>IF(E194=5,IF(E207=1,1,0),0)</f>
        <v>0</v>
      </c>
      <c r="G220" s="168">
        <f>IF(G194=5,IF(G207=1,1,0),0)</f>
        <v>0</v>
      </c>
      <c r="H220" s="115">
        <f>IF(H194=5,IF(H207=1,1,0),0)</f>
        <v>0</v>
      </c>
      <c r="J220" s="168">
        <f>IF(J194=5,IF(J207=1,1,0),0)</f>
        <v>0</v>
      </c>
      <c r="K220" s="115">
        <f>IF(K194=5,IF(K207=1,1,0),0)</f>
        <v>0</v>
      </c>
      <c r="M220" s="168">
        <f>IF(M194=5,IF(M207=1,1,0),0)</f>
        <v>0</v>
      </c>
      <c r="N220" s="115">
        <f>IF(N194=5,IF(N207=1,1,0),0)</f>
        <v>0</v>
      </c>
      <c r="P220" s="168">
        <f>IF(P194=5,IF(P207=1,1,0),0)</f>
        <v>0</v>
      </c>
      <c r="Q220" s="115">
        <f>IF(Q194=5,IF(Q207=1,1,0),0)</f>
        <v>0</v>
      </c>
      <c r="S220" s="168">
        <f>IF(S194=5,IF(S207=1,1,0),0)</f>
        <v>0</v>
      </c>
      <c r="T220" s="115">
        <f>IF(T194=5,IF(T207=1,1,0),0)</f>
        <v>0</v>
      </c>
      <c r="V220" s="168">
        <f>IF(V194=5,IF(V207=1,1,0),0)</f>
        <v>0</v>
      </c>
      <c r="W220" s="115">
        <f>IF(W194=5,IF(W207=1,1,0),0)</f>
        <v>0</v>
      </c>
      <c r="Y220" s="168">
        <f>IF(Y194=5,IF(Y207=1,1,0),0)</f>
        <v>0</v>
      </c>
      <c r="Z220" s="115">
        <f>IF(Z194=5,IF(Z207=1,1,0),0)</f>
        <v>0</v>
      </c>
      <c r="AB220" s="168">
        <f>IF(AB194=5,IF(AB207=1,1,0),0)</f>
        <v>0</v>
      </c>
      <c r="AC220" s="115">
        <f>IF(AC194=5,IF(AC207=1,1,0),0)</f>
        <v>0</v>
      </c>
      <c r="AE220" s="168">
        <f>IF(AE194=5,IF(AE207=1,1,0),0)</f>
        <v>0</v>
      </c>
      <c r="AF220" s="115">
        <f>SUM(B220:AE220)</f>
        <v>0</v>
      </c>
      <c r="AG220" s="115">
        <f>AF226-AF220</f>
        <v>0</v>
      </c>
      <c r="AT220" s="513"/>
      <c r="AU220" s="513"/>
      <c r="AV220" s="513"/>
      <c r="AW220" s="514"/>
      <c r="AX220" s="513"/>
      <c r="AY220" s="513"/>
    </row>
    <row r="221" spans="1:51" s="115" customFormat="1" ht="38.25" hidden="1" customHeight="1">
      <c r="A221" s="167"/>
      <c r="D221" s="168"/>
      <c r="G221" s="168"/>
      <c r="J221" s="168"/>
      <c r="M221" s="168"/>
      <c r="P221" s="168"/>
      <c r="S221" s="168"/>
      <c r="V221" s="168"/>
      <c r="Y221" s="168"/>
      <c r="AB221" s="168"/>
      <c r="AE221" s="168"/>
      <c r="AF221" s="167" t="s">
        <v>217</v>
      </c>
      <c r="AT221" s="513"/>
      <c r="AU221" s="513"/>
      <c r="AV221" s="513"/>
      <c r="AW221" s="514"/>
      <c r="AX221" s="513"/>
      <c r="AY221" s="513"/>
    </row>
    <row r="222" spans="1:51" s="115" customFormat="1" ht="12.75" hidden="1" customHeight="1">
      <c r="A222" s="115" t="s">
        <v>43</v>
      </c>
      <c r="B222" s="115">
        <f>IF(B194=1,IF(C207=1,1,0),0)</f>
        <v>1</v>
      </c>
      <c r="D222" s="168">
        <f>IF(D194=1,IF(C207=1,1,0),0)</f>
        <v>0</v>
      </c>
      <c r="E222" s="115">
        <f>IF(E194=1,IF(F207=1,1,0),0)</f>
        <v>0</v>
      </c>
      <c r="G222" s="168">
        <f>IF(G194=1,IF(F207=1,1,0),0)</f>
        <v>0</v>
      </c>
      <c r="H222" s="115">
        <f>IF(H194=1,IF(I207=1,1,0),0)</f>
        <v>1</v>
      </c>
      <c r="J222" s="168">
        <f>IF(J194=1,IF(I207=1,1,0),0)</f>
        <v>0</v>
      </c>
      <c r="K222" s="115">
        <f>IF(K194=1,IF(L207=1,1,0),0)</f>
        <v>0</v>
      </c>
      <c r="M222" s="168">
        <f>IF(M194=1,IF(L207=1,1,0),0)</f>
        <v>0</v>
      </c>
      <c r="N222" s="115">
        <f>IF(N194=1,IF(O207=1,1,0),0)</f>
        <v>0</v>
      </c>
      <c r="P222" s="168">
        <f>IF(P194=1,IF(O207=1,1,0),0)</f>
        <v>0</v>
      </c>
      <c r="Q222" s="115">
        <f>IF(Q194=1,IF(R207=1,1,0),0)</f>
        <v>0</v>
      </c>
      <c r="S222" s="168">
        <f>IF(S194=1,IF(R207=1,1,0),0)</f>
        <v>0</v>
      </c>
      <c r="T222" s="115">
        <f>IF(T194=1,IF(U207=1,1,0),0)</f>
        <v>0</v>
      </c>
      <c r="V222" s="168">
        <f>IF(V194=1,IF(U207=1,1,0),0)</f>
        <v>0</v>
      </c>
      <c r="W222" s="115">
        <f>IF(W194=1,IF(X207=1,1,0),0)</f>
        <v>0</v>
      </c>
      <c r="Y222" s="168">
        <f>IF(Y194=1,IF(X207=1,1,0),0)</f>
        <v>0</v>
      </c>
      <c r="Z222" s="115">
        <f>IF(Z194=1,IF(AA207=1,1,0),0)</f>
        <v>0</v>
      </c>
      <c r="AB222" s="168">
        <f>IF(AB194=1,IF(AA207=1,1,0),0)</f>
        <v>0</v>
      </c>
      <c r="AC222" s="115">
        <f>IF(AC194=1,IF(AD207=1,1,0),0)</f>
        <v>0</v>
      </c>
      <c r="AE222" s="168">
        <f>IF(AE194=1,IF(AD207=1,1,0),0)</f>
        <v>0</v>
      </c>
      <c r="AF222" s="115">
        <f>SUM(B222:AE222)</f>
        <v>2</v>
      </c>
      <c r="AT222" s="513"/>
      <c r="AU222" s="513"/>
      <c r="AV222" s="513"/>
      <c r="AW222" s="514"/>
      <c r="AX222" s="513"/>
      <c r="AY222" s="513"/>
    </row>
    <row r="223" spans="1:51" s="115" customFormat="1" ht="12.75" hidden="1" customHeight="1">
      <c r="A223" s="115" t="s">
        <v>44</v>
      </c>
      <c r="B223" s="115">
        <f>IF(B194=2,IF(C207=1,1,0),0)</f>
        <v>0</v>
      </c>
      <c r="D223" s="168">
        <f>IF(D194=2,IF(C207=1,1,0),0)</f>
        <v>1</v>
      </c>
      <c r="E223" s="115">
        <f>IF(E194=2,IF(F207=1,1,0),0)</f>
        <v>0</v>
      </c>
      <c r="G223" s="168">
        <f>IF(G194=2,IF(F207=1,1,0),0)</f>
        <v>0</v>
      </c>
      <c r="H223" s="115">
        <f>IF(H194=2,IF(I207=1,1,0),0)</f>
        <v>0</v>
      </c>
      <c r="J223" s="168">
        <f>IF(J194=2,IF(I207=1,1,0),0)</f>
        <v>0</v>
      </c>
      <c r="K223" s="115">
        <f>IF(K194=2,IF(L207=1,1,0),0)</f>
        <v>0</v>
      </c>
      <c r="M223" s="168">
        <f>IF(M194=2,IF(L207=1,1,0),0)</f>
        <v>0</v>
      </c>
      <c r="N223" s="115">
        <f>IF(N194=2,IF(O207=1,1,0),0)</f>
        <v>0</v>
      </c>
      <c r="P223" s="168">
        <f>IF(P194=2,IF(O207=1,1,0),0)</f>
        <v>0</v>
      </c>
      <c r="Q223" s="115">
        <f>IF(Q194=2,IF(R207=1,1,0),0)</f>
        <v>0</v>
      </c>
      <c r="S223" s="168">
        <f>IF(S194=2,IF(R207=1,1,0),0)</f>
        <v>0</v>
      </c>
      <c r="T223" s="115">
        <f>IF(T194=2,IF(U207=1,1,0),0)</f>
        <v>0</v>
      </c>
      <c r="V223" s="168">
        <f>IF(V194=2,IF(U207=1,1,0),0)</f>
        <v>0</v>
      </c>
      <c r="W223" s="115">
        <f>IF(W194=2,IF(X207=1,1,0),0)</f>
        <v>0</v>
      </c>
      <c r="Y223" s="168">
        <f>IF(Y194=2,IF(X207=1,1,0),0)</f>
        <v>0</v>
      </c>
      <c r="Z223" s="115">
        <f>IF(Z194=2,IF(AA207=1,1,0),0)</f>
        <v>0</v>
      </c>
      <c r="AB223" s="168">
        <f>IF(AB194=2,IF(AA207=1,1,0),0)</f>
        <v>0</v>
      </c>
      <c r="AC223" s="115">
        <f>IF(AC194=2,IF(AD207=1,1,0),0)</f>
        <v>0</v>
      </c>
      <c r="AE223" s="168">
        <f>IF(AE194=2,IF(AD207=1,1,0),0)</f>
        <v>0</v>
      </c>
      <c r="AF223" s="115">
        <f>SUM(B223:AE223)</f>
        <v>1</v>
      </c>
      <c r="AT223" s="513"/>
      <c r="AU223" s="513"/>
      <c r="AV223" s="513"/>
      <c r="AW223" s="514"/>
      <c r="AX223" s="513"/>
      <c r="AY223" s="513"/>
    </row>
    <row r="224" spans="1:51" s="115" customFormat="1" ht="12.75" hidden="1" customHeight="1">
      <c r="A224" s="115" t="s">
        <v>45</v>
      </c>
      <c r="B224" s="115">
        <f>IF(B194=3,IF(C207=1,1,0),0)</f>
        <v>0</v>
      </c>
      <c r="D224" s="168">
        <f>IF(D194=3,IF(C207=1,1,0),0)</f>
        <v>0</v>
      </c>
      <c r="E224" s="115">
        <f>IF(E194=3,IF(F207=1,1,0),0)</f>
        <v>0</v>
      </c>
      <c r="G224" s="168">
        <f>IF(G194=3,IF(F207=1,1,0),0)</f>
        <v>0</v>
      </c>
      <c r="H224" s="115">
        <f>IF(H194=3,IF(I207=1,1,0),0)</f>
        <v>0</v>
      </c>
      <c r="J224" s="168">
        <f>IF(J194=3,IF(I207=1,1,0),0)</f>
        <v>1</v>
      </c>
      <c r="K224" s="115">
        <f>IF(K194=3,IF(L207=1,1,0),0)</f>
        <v>0</v>
      </c>
      <c r="M224" s="168">
        <f>IF(M194=3,IF(L207=1,1,0),0)</f>
        <v>0</v>
      </c>
      <c r="N224" s="115">
        <f>IF(N194=3,IF(O207=1,1,0),0)</f>
        <v>0</v>
      </c>
      <c r="P224" s="168">
        <f>IF(P194=3,IF(O207=1,1,0),0)</f>
        <v>0</v>
      </c>
      <c r="Q224" s="115">
        <f>IF(Q194=3,IF(R207=1,1,0),0)</f>
        <v>0</v>
      </c>
      <c r="S224" s="168">
        <f>IF(S194=3,IF(R207=1,1,0),0)</f>
        <v>0</v>
      </c>
      <c r="T224" s="115">
        <f>IF(T194=3,IF(U207=1,1,0),0)</f>
        <v>0</v>
      </c>
      <c r="V224" s="168">
        <f>IF(V194=3,IF(U207=1,1,0),0)</f>
        <v>0</v>
      </c>
      <c r="W224" s="115">
        <f>IF(W194=3,IF(X207=1,1,0),0)</f>
        <v>0</v>
      </c>
      <c r="Y224" s="168">
        <f>IF(Y194=3,IF(X207=1,1,0),0)</f>
        <v>0</v>
      </c>
      <c r="Z224" s="115">
        <f>IF(Z194=3,IF(AA207=1,1,0),0)</f>
        <v>0</v>
      </c>
      <c r="AB224" s="168">
        <f>IF(AB194=3,IF(AA207=1,1,0),0)</f>
        <v>0</v>
      </c>
      <c r="AC224" s="115">
        <f>IF(AC194=3,IF(AD207=1,1,0),0)</f>
        <v>0</v>
      </c>
      <c r="AE224" s="168">
        <f>IF(AE194=3,IF(AD207=1,1,0),0)</f>
        <v>0</v>
      </c>
      <c r="AF224" s="115">
        <f>SUM(B224:AE224)</f>
        <v>1</v>
      </c>
      <c r="AT224" s="513"/>
      <c r="AU224" s="513"/>
      <c r="AV224" s="513"/>
      <c r="AW224" s="514"/>
      <c r="AX224" s="513"/>
      <c r="AY224" s="513"/>
    </row>
    <row r="225" spans="1:51" s="115" customFormat="1" ht="12.75" hidden="1" customHeight="1">
      <c r="A225" s="115" t="s">
        <v>46</v>
      </c>
      <c r="B225" s="115">
        <f>IF(B194=4,IF(C207=1,1,0),0)</f>
        <v>0</v>
      </c>
      <c r="D225" s="168">
        <f>IF(D194=4,IF(C207=1,1,0),0)</f>
        <v>0</v>
      </c>
      <c r="E225" s="115">
        <f>IF(E194=4,IF(F207=1,1,0),0)</f>
        <v>0</v>
      </c>
      <c r="G225" s="168">
        <f>IF(G194=4,IF(F207=1,1,0),0)</f>
        <v>0</v>
      </c>
      <c r="H225" s="115">
        <f>IF(H194=4,IF(I207=1,1,0),0)</f>
        <v>0</v>
      </c>
      <c r="J225" s="168">
        <f>IF(J194=4,IF(I207=1,1,0),0)</f>
        <v>0</v>
      </c>
      <c r="K225" s="115">
        <f>IF(K194=4,IF(L207=1,1,0),0)</f>
        <v>0</v>
      </c>
      <c r="M225" s="168">
        <f>IF(M194=4,IF(L207=1,1,0),0)</f>
        <v>0</v>
      </c>
      <c r="N225" s="115">
        <f>IF(N194=4,IF(O207=1,1,0),0)</f>
        <v>0</v>
      </c>
      <c r="P225" s="168">
        <f>IF(P194=4,IF(O207=1,1,0),0)</f>
        <v>0</v>
      </c>
      <c r="Q225" s="115">
        <f>IF(Q194=4,IF(R207=1,1,0),0)</f>
        <v>0</v>
      </c>
      <c r="S225" s="168">
        <f>IF(S194=4,IF(R207=1,1,0),0)</f>
        <v>0</v>
      </c>
      <c r="T225" s="115">
        <f>IF(T194=4,IF(U207=1,1,0),0)</f>
        <v>0</v>
      </c>
      <c r="V225" s="168">
        <f>IF(V194=4,IF(U207=1,1,0),0)</f>
        <v>0</v>
      </c>
      <c r="W225" s="115">
        <f>IF(W194=4,IF(X207=1,1,0),0)</f>
        <v>0</v>
      </c>
      <c r="Y225" s="168">
        <f>IF(Y194=4,IF(X207=1,1,0),0)</f>
        <v>0</v>
      </c>
      <c r="Z225" s="115">
        <f>IF(Z194=4,IF(AA207=1,1,0),0)</f>
        <v>0</v>
      </c>
      <c r="AB225" s="168">
        <f>IF(AB194=4,IF(AA207=1,1,0),0)</f>
        <v>0</v>
      </c>
      <c r="AC225" s="115">
        <f>IF(AC194=4,IF(AD207=1,1,0),0)</f>
        <v>0</v>
      </c>
      <c r="AE225" s="168">
        <f>IF(AE194=4,IF(AD207=1,1,0),0)</f>
        <v>0</v>
      </c>
      <c r="AF225" s="115">
        <f>SUM(B225:AE225)</f>
        <v>0</v>
      </c>
      <c r="AT225" s="513"/>
      <c r="AU225" s="513"/>
      <c r="AV225" s="513"/>
      <c r="AW225" s="514"/>
      <c r="AX225" s="513"/>
      <c r="AY225" s="513"/>
    </row>
    <row r="226" spans="1:51" s="115" customFormat="1" ht="12.75" hidden="1" customHeight="1">
      <c r="A226" s="115" t="s">
        <v>47</v>
      </c>
      <c r="B226" s="115">
        <f>IF(B194=5,IF(C207=1,1,0),0)</f>
        <v>0</v>
      </c>
      <c r="D226" s="168">
        <f>IF(D194=5,IF(C207=1,1,0),0)</f>
        <v>0</v>
      </c>
      <c r="E226" s="115">
        <f>IF(E194=5,IF(F207=1,1,0),0)</f>
        <v>0</v>
      </c>
      <c r="G226" s="168">
        <f>IF(G194=5,IF(F207=1,1,0),0)</f>
        <v>0</v>
      </c>
      <c r="H226" s="115">
        <f>IF(H194=5,IF(I207=1,1,0),0)</f>
        <v>0</v>
      </c>
      <c r="J226" s="168">
        <f>IF(J194=5,IF(I207=1,1,0),0)</f>
        <v>0</v>
      </c>
      <c r="K226" s="115">
        <f>IF(K194=5,IF(L207=1,1,0),0)</f>
        <v>0</v>
      </c>
      <c r="M226" s="168">
        <f>IF(M194=5,IF(L207=1,1,0),0)</f>
        <v>0</v>
      </c>
      <c r="N226" s="115">
        <f>IF(N194=5,IF(O207=1,1,0),0)</f>
        <v>0</v>
      </c>
      <c r="P226" s="168">
        <f>IF(P194=5,IF(O207=1,1,0),0)</f>
        <v>0</v>
      </c>
      <c r="Q226" s="115">
        <f>IF(Q194=5,IF(R207=1,1,0),0)</f>
        <v>0</v>
      </c>
      <c r="S226" s="168">
        <f>IF(S194=5,IF(R207=1,1,0),0)</f>
        <v>0</v>
      </c>
      <c r="T226" s="115">
        <f>IF(T194=5,IF(U207=1,1,0),0)</f>
        <v>0</v>
      </c>
      <c r="V226" s="168">
        <f>IF(V194=5,IF(U207=1,1,0),0)</f>
        <v>0</v>
      </c>
      <c r="W226" s="115">
        <f>IF(W194=5,IF(X207=1,1,0),0)</f>
        <v>0</v>
      </c>
      <c r="Y226" s="168">
        <f>IF(Y194=5,IF(X207=1,1,0),0)</f>
        <v>0</v>
      </c>
      <c r="Z226" s="115">
        <f>IF(Z194=5,IF(AA207=1,1,0),0)</f>
        <v>0</v>
      </c>
      <c r="AB226" s="168">
        <f>IF(AB194=5,IF(AA207=1,1,0),0)</f>
        <v>0</v>
      </c>
      <c r="AC226" s="115">
        <f>IF(AC194=5,IF(AD207=1,1,0),0)</f>
        <v>0</v>
      </c>
      <c r="AE226" s="168">
        <f>IF(AE194=5,IF(AD207=1,1,0),0)</f>
        <v>0</v>
      </c>
      <c r="AF226" s="115">
        <f>SUM(B226:AE226)</f>
        <v>0</v>
      </c>
      <c r="AT226" s="513"/>
      <c r="AU226" s="513"/>
      <c r="AV226" s="513"/>
      <c r="AW226" s="514"/>
      <c r="AX226" s="513"/>
      <c r="AY226" s="513"/>
    </row>
    <row r="227" spans="1:51" s="115" customFormat="1" ht="38.25" hidden="1" customHeight="1">
      <c r="A227" s="167"/>
      <c r="D227" s="168"/>
      <c r="G227" s="168"/>
      <c r="J227" s="168"/>
      <c r="M227" s="168"/>
      <c r="P227" s="168"/>
      <c r="S227" s="168"/>
      <c r="V227" s="168"/>
      <c r="Y227" s="168"/>
      <c r="AB227" s="168"/>
      <c r="AE227" s="168"/>
      <c r="AF227" s="167" t="s">
        <v>218</v>
      </c>
      <c r="AG227" s="392"/>
      <c r="AH227" s="392"/>
      <c r="AI227" s="392"/>
      <c r="AJ227" s="392"/>
      <c r="AK227" s="392"/>
      <c r="AT227" s="513"/>
      <c r="AU227" s="513"/>
      <c r="AV227" s="513"/>
      <c r="AW227" s="514"/>
      <c r="AX227" s="513"/>
      <c r="AY227" s="513"/>
    </row>
    <row r="228" spans="1:51" s="115" customFormat="1" ht="12.75" hidden="1" customHeight="1">
      <c r="A228" s="115" t="s">
        <v>43</v>
      </c>
      <c r="B228" s="115">
        <f>IF(B194=1,B214,0)</f>
        <v>40</v>
      </c>
      <c r="D228" s="168">
        <f>IF(D194=1,B214,0)</f>
        <v>0</v>
      </c>
      <c r="E228" s="115">
        <f>IF(E194=1,E214,0)</f>
        <v>0</v>
      </c>
      <c r="G228" s="168">
        <f>IF(G194=1,E214,0)</f>
        <v>0</v>
      </c>
      <c r="H228" s="115">
        <f>IF(H194=1,H214,0)</f>
        <v>37</v>
      </c>
      <c r="J228" s="168">
        <f>IF(J194=1,H214,0)</f>
        <v>0</v>
      </c>
      <c r="K228" s="115">
        <f>IF(K194=1,K214,0)</f>
        <v>0</v>
      </c>
      <c r="M228" s="168">
        <f>IF(M194=1,K214,0)</f>
        <v>0</v>
      </c>
      <c r="N228" s="115">
        <f>IF(N194=1,N214,0)</f>
        <v>0</v>
      </c>
      <c r="P228" s="168">
        <f>IF(P194=1,N214,0)</f>
        <v>0</v>
      </c>
      <c r="Q228" s="115">
        <f>IF(Q194=1,Q214,0)</f>
        <v>0</v>
      </c>
      <c r="S228" s="168">
        <f>IF(S194=1,Q214,0)</f>
        <v>0</v>
      </c>
      <c r="T228" s="115">
        <f>IF(T194=1,T214,0)</f>
        <v>0</v>
      </c>
      <c r="V228" s="168">
        <f>IF(V194=1,T214,0)</f>
        <v>0</v>
      </c>
      <c r="W228" s="115">
        <f>IF(W194=1,W214,0)</f>
        <v>0</v>
      </c>
      <c r="Y228" s="168">
        <f>IF(Y194=1,W214,0)</f>
        <v>0</v>
      </c>
      <c r="Z228" s="115">
        <f>IF(Z194=1,Z214,0)</f>
        <v>0</v>
      </c>
      <c r="AB228" s="168">
        <f>IF(AB194=1,Z214,0)</f>
        <v>0</v>
      </c>
      <c r="AC228" s="115">
        <f>IF(AC194=1,AC214,0)</f>
        <v>0</v>
      </c>
      <c r="AE228" s="168">
        <f>IF(AE194=1,AC214,0)</f>
        <v>0</v>
      </c>
      <c r="AF228" s="115">
        <f>SUM(B228:AE228)</f>
        <v>77</v>
      </c>
      <c r="AT228" s="513"/>
      <c r="AU228" s="513"/>
      <c r="AV228" s="513"/>
      <c r="AW228" s="514"/>
      <c r="AX228" s="513"/>
      <c r="AY228" s="513"/>
    </row>
    <row r="229" spans="1:51" s="115" customFormat="1" ht="12.75" hidden="1" customHeight="1">
      <c r="A229" s="115" t="s">
        <v>44</v>
      </c>
      <c r="B229" s="115">
        <f>IF(B194=2,B214,0)</f>
        <v>0</v>
      </c>
      <c r="D229" s="168">
        <f>IF(D194=2,B214,0)</f>
        <v>40</v>
      </c>
      <c r="E229" s="115">
        <f>IF(E194=2,E214,0)</f>
        <v>38</v>
      </c>
      <c r="G229" s="168">
        <f>IF(G194=2,E214,0)</f>
        <v>0</v>
      </c>
      <c r="H229" s="115">
        <f>IF(H194=2,H214,0)</f>
        <v>0</v>
      </c>
      <c r="J229" s="168">
        <f>IF(J194=2,H214,0)</f>
        <v>0</v>
      </c>
      <c r="K229" s="115">
        <f>IF(K194=2,K214,0)</f>
        <v>0</v>
      </c>
      <c r="M229" s="168">
        <f>IF(M194=2,K214,0)</f>
        <v>0</v>
      </c>
      <c r="N229" s="115">
        <f>IF(N194=2,N214,0)</f>
        <v>0</v>
      </c>
      <c r="P229" s="168">
        <f>IF(P194=2,N214,0)</f>
        <v>0</v>
      </c>
      <c r="Q229" s="115">
        <f>IF(Q194=2,Q214,0)</f>
        <v>0</v>
      </c>
      <c r="S229" s="168">
        <f>IF(S194=2,Q214,0)</f>
        <v>0</v>
      </c>
      <c r="T229" s="115">
        <f>IF(T194=2,T214,0)</f>
        <v>0</v>
      </c>
      <c r="V229" s="168">
        <f>IF(V194=2,T214,0)</f>
        <v>0</v>
      </c>
      <c r="W229" s="115">
        <f>IF(W194=2,W214,0)</f>
        <v>0</v>
      </c>
      <c r="Y229" s="168">
        <f>IF(Y194=2,W214,0)</f>
        <v>0</v>
      </c>
      <c r="Z229" s="115">
        <f>IF(Z194=2,Z214,0)</f>
        <v>0</v>
      </c>
      <c r="AB229" s="168">
        <f>IF(AB194=2,Z214,0)</f>
        <v>0</v>
      </c>
      <c r="AC229" s="115">
        <f>IF(AC194=2,AC214,0)</f>
        <v>0</v>
      </c>
      <c r="AE229" s="168">
        <f>IF(AE194=2,AC214,0)</f>
        <v>0</v>
      </c>
      <c r="AF229" s="115">
        <f>SUM(B229:AE229)</f>
        <v>78</v>
      </c>
      <c r="AT229" s="513"/>
      <c r="AU229" s="513"/>
      <c r="AV229" s="513"/>
      <c r="AW229" s="514"/>
      <c r="AX229" s="513"/>
      <c r="AY229" s="513"/>
    </row>
    <row r="230" spans="1:51" s="115" customFormat="1" ht="12.75" hidden="1" customHeight="1">
      <c r="A230" s="115" t="s">
        <v>45</v>
      </c>
      <c r="B230" s="115">
        <f>IF(B194=3,B214,0)</f>
        <v>0</v>
      </c>
      <c r="D230" s="168">
        <f>IF(D194=3,B214,0)</f>
        <v>0</v>
      </c>
      <c r="E230" s="115">
        <f>IF(E194=3,E214,0)</f>
        <v>0</v>
      </c>
      <c r="G230" s="168">
        <f>IF(G194=3,E214,0)</f>
        <v>38</v>
      </c>
      <c r="H230" s="115">
        <f>IF(H194=3,H214,0)</f>
        <v>0</v>
      </c>
      <c r="J230" s="168">
        <f>IF(J194=3,H214,0)</f>
        <v>37</v>
      </c>
      <c r="K230" s="115">
        <f>IF(K194=3,K214,0)</f>
        <v>0</v>
      </c>
      <c r="M230" s="168">
        <f>IF(M194=3,K214,0)</f>
        <v>0</v>
      </c>
      <c r="N230" s="115">
        <f>IF(N194=3,N214,0)</f>
        <v>0</v>
      </c>
      <c r="P230" s="168">
        <f>IF(P194=3,N214,0)</f>
        <v>0</v>
      </c>
      <c r="Q230" s="115">
        <f>IF(Q194=3,Q214,0)</f>
        <v>0</v>
      </c>
      <c r="S230" s="168">
        <f>IF(S194=3,Q214,0)</f>
        <v>0</v>
      </c>
      <c r="T230" s="115">
        <f>IF(T194=3,T214,0)</f>
        <v>0</v>
      </c>
      <c r="V230" s="168">
        <f>IF(V194=3,T214,0)</f>
        <v>0</v>
      </c>
      <c r="W230" s="115">
        <f>IF(W194=3,W214,0)</f>
        <v>0</v>
      </c>
      <c r="Y230" s="168">
        <f>IF(Y194=3,W214,0)</f>
        <v>0</v>
      </c>
      <c r="Z230" s="115">
        <f>IF(Z194=3,Z214,0)</f>
        <v>0</v>
      </c>
      <c r="AB230" s="168">
        <f>IF(AB194=3,Z214,0)</f>
        <v>0</v>
      </c>
      <c r="AC230" s="115">
        <f>IF(AC194=3,AC214,0)</f>
        <v>0</v>
      </c>
      <c r="AE230" s="168">
        <f>IF(AE194=3,AC214,0)</f>
        <v>0</v>
      </c>
      <c r="AF230" s="115">
        <f>SUM(B230:AE230)</f>
        <v>75</v>
      </c>
      <c r="AT230" s="513"/>
      <c r="AU230" s="513"/>
      <c r="AV230" s="513"/>
      <c r="AW230" s="514"/>
      <c r="AX230" s="513"/>
      <c r="AY230" s="513"/>
    </row>
    <row r="231" spans="1:51" s="115" customFormat="1" ht="12.75" hidden="1" customHeight="1">
      <c r="A231" s="115" t="s">
        <v>46</v>
      </c>
      <c r="B231" s="115">
        <f>IF(B194=4,B214,0)</f>
        <v>0</v>
      </c>
      <c r="D231" s="168">
        <f>IF(D194=4,B214,0)</f>
        <v>0</v>
      </c>
      <c r="E231" s="115">
        <f>IF(E194=4,E214,0)</f>
        <v>0</v>
      </c>
      <c r="G231" s="168">
        <f>IF(G194=4,E214,0)</f>
        <v>0</v>
      </c>
      <c r="H231" s="115">
        <f>IF(H194=4,H214,0)</f>
        <v>0</v>
      </c>
      <c r="J231" s="168">
        <f>IF(J194=4,H214,0)</f>
        <v>0</v>
      </c>
      <c r="K231" s="115">
        <f>IF(K194=4,K214,0)</f>
        <v>0</v>
      </c>
      <c r="M231" s="168">
        <f>IF(M194=4,K214,0)</f>
        <v>0</v>
      </c>
      <c r="N231" s="115">
        <f>IF(N194=4,N214,0)</f>
        <v>0</v>
      </c>
      <c r="P231" s="168">
        <f>IF(P194=4,N214,0)</f>
        <v>0</v>
      </c>
      <c r="Q231" s="115">
        <f>IF(Q194=4,Q214,0)</f>
        <v>0</v>
      </c>
      <c r="S231" s="168">
        <f>IF(S194=4,Q214,0)</f>
        <v>0</v>
      </c>
      <c r="T231" s="115">
        <f>IF(T194=4,T214,0)</f>
        <v>0</v>
      </c>
      <c r="V231" s="168">
        <f>IF(V194=4,T214,0)</f>
        <v>0</v>
      </c>
      <c r="W231" s="115">
        <f>IF(W194=4,W214,0)</f>
        <v>0</v>
      </c>
      <c r="Y231" s="168">
        <f>IF(Y194=4,W214,0)</f>
        <v>0</v>
      </c>
      <c r="Z231" s="115">
        <f>IF(Z194=4,Z214,0)</f>
        <v>0</v>
      </c>
      <c r="AB231" s="168">
        <f>IF(AB194=4,Z214,0)</f>
        <v>0</v>
      </c>
      <c r="AC231" s="115">
        <f>IF(AC194=4,AC214,0)</f>
        <v>0</v>
      </c>
      <c r="AE231" s="168">
        <f>IF(AE194=4,AC214,0)</f>
        <v>0</v>
      </c>
      <c r="AF231" s="115">
        <f>SUM(B231:AE231)</f>
        <v>0</v>
      </c>
      <c r="AT231" s="513"/>
      <c r="AU231" s="513"/>
      <c r="AV231" s="513"/>
      <c r="AW231" s="514"/>
      <c r="AX231" s="513"/>
      <c r="AY231" s="513"/>
    </row>
    <row r="232" spans="1:51" s="115" customFormat="1" ht="12.75" hidden="1" customHeight="1">
      <c r="A232" s="115" t="s">
        <v>47</v>
      </c>
      <c r="B232" s="115">
        <f>IF(B194=5,B214,0)</f>
        <v>0</v>
      </c>
      <c r="D232" s="168">
        <f>IF(D194=5,B214,0)</f>
        <v>0</v>
      </c>
      <c r="E232" s="115">
        <f>IF(E194=5,E214,0)</f>
        <v>0</v>
      </c>
      <c r="G232" s="168">
        <f>IF(G194=5,E214,0)</f>
        <v>0</v>
      </c>
      <c r="H232" s="115">
        <f>IF(H194=5,H214,0)</f>
        <v>0</v>
      </c>
      <c r="J232" s="168">
        <f>IF(J194=5,H214,0)</f>
        <v>0</v>
      </c>
      <c r="K232" s="115">
        <f>IF(K194=5,K214,0)</f>
        <v>0</v>
      </c>
      <c r="M232" s="168">
        <f>IF(M194=5,K214,0)</f>
        <v>0</v>
      </c>
      <c r="N232" s="115">
        <f>IF(N194=5,N214,0)</f>
        <v>0</v>
      </c>
      <c r="P232" s="168">
        <f>IF(P194=5,N214,0)</f>
        <v>0</v>
      </c>
      <c r="Q232" s="115">
        <f>IF(Q194=5,Q214,0)</f>
        <v>0</v>
      </c>
      <c r="S232" s="168">
        <f>IF(S194=5,Q214,0)</f>
        <v>0</v>
      </c>
      <c r="T232" s="115">
        <f>IF(T194=5,T214,0)</f>
        <v>0</v>
      </c>
      <c r="V232" s="168">
        <f>IF(V194=5,T214,0)</f>
        <v>0</v>
      </c>
      <c r="W232" s="115">
        <f>IF(W194=5,W214,0)</f>
        <v>0</v>
      </c>
      <c r="Y232" s="168">
        <f>IF(Y194=5,W214,0)</f>
        <v>0</v>
      </c>
      <c r="Z232" s="115">
        <f>IF(Z194=5,Z214,0)</f>
        <v>0</v>
      </c>
      <c r="AB232" s="168">
        <f>IF(AB194=5,Z214,0)</f>
        <v>0</v>
      </c>
      <c r="AC232" s="115">
        <f>IF(AC194=5,AC214,0)</f>
        <v>0</v>
      </c>
      <c r="AE232" s="168">
        <f>IF(AE194=5,AC214,0)</f>
        <v>0</v>
      </c>
      <c r="AF232" s="115">
        <f>SUM(B232:AE232)</f>
        <v>0</v>
      </c>
      <c r="AT232" s="513"/>
      <c r="AU232" s="513"/>
      <c r="AV232" s="513"/>
      <c r="AW232" s="514"/>
      <c r="AX232" s="513"/>
      <c r="AY232" s="513"/>
    </row>
    <row r="233" spans="1:51" s="115" customFormat="1" ht="38.25" hidden="1" customHeight="1">
      <c r="A233" s="115" t="s">
        <v>48</v>
      </c>
      <c r="D233" s="168"/>
      <c r="G233" s="168"/>
      <c r="J233" s="168"/>
      <c r="M233" s="168"/>
      <c r="P233" s="168"/>
      <c r="S233" s="168"/>
      <c r="V233" s="168"/>
      <c r="Y233" s="168"/>
      <c r="AB233" s="168"/>
      <c r="AE233" s="168"/>
      <c r="AF233" s="167" t="s">
        <v>219</v>
      </c>
      <c r="AG233" s="115" t="s">
        <v>220</v>
      </c>
      <c r="AT233" s="513"/>
      <c r="AU233" s="513"/>
      <c r="AV233" s="513"/>
      <c r="AW233" s="514"/>
      <c r="AX233" s="513"/>
      <c r="AY233" s="513"/>
    </row>
    <row r="234" spans="1:51" s="115" customFormat="1" ht="12.75" hidden="1" customHeight="1">
      <c r="A234" s="115" t="s">
        <v>38</v>
      </c>
      <c r="B234" s="115">
        <f>IF(B194=1,SUMIF(B201:B205,"&gt;0"),0)</f>
        <v>2</v>
      </c>
      <c r="D234" s="168">
        <f>IF(D194=1,SUMIF(D201:D205,"&gt;0"),0)</f>
        <v>0</v>
      </c>
      <c r="E234" s="115">
        <f>IF(E194=1,SUMIF(E201:E205,"&gt;0"),0)</f>
        <v>0</v>
      </c>
      <c r="G234" s="168">
        <f>IF(G194=1,SUMIF(G201:G205,"&gt;0"),0)</f>
        <v>0</v>
      </c>
      <c r="H234" s="115">
        <f>IF(H194=1,SUMIF(H201:H205,"&gt;0"),0)</f>
        <v>2</v>
      </c>
      <c r="J234" s="168">
        <f>IF(J194=1,SUMIF(J201:J205,"&gt;0"),0)</f>
        <v>0</v>
      </c>
      <c r="K234" s="115">
        <f>IF(K194=1,SUMIF(K201:K205,"&gt;0"),0)</f>
        <v>0</v>
      </c>
      <c r="M234" s="168">
        <f>IF(M194=1,SUMIF(M201:M205,"&gt;0"),0)</f>
        <v>0</v>
      </c>
      <c r="N234" s="115">
        <f>IF(N194=1,SUMIF(N201:N205,"&gt;0"),0)</f>
        <v>0</v>
      </c>
      <c r="P234" s="168">
        <f>IF(P194=1,SUMIF(P201:P205,"&gt;0"),0)</f>
        <v>0</v>
      </c>
      <c r="Q234" s="115">
        <f>IF(Q194=1,SUMIF(Q201:Q205,"&gt;0"),0)</f>
        <v>0</v>
      </c>
      <c r="S234" s="168">
        <f>IF(S194=1,SUMIF(S201:S205,"&gt;0"),0)</f>
        <v>0</v>
      </c>
      <c r="T234" s="115">
        <f>IF(T194=1,SUMIF(T201:T205,"&gt;0"),0)</f>
        <v>0</v>
      </c>
      <c r="V234" s="168">
        <f>IF(V194=1,SUMIF(V201:V205,"&gt;0"),0)</f>
        <v>0</v>
      </c>
      <c r="W234" s="115">
        <f>IF(W194=1,SUMIF(W201:W205,"&gt;0"),0)</f>
        <v>0</v>
      </c>
      <c r="Y234" s="168">
        <f>IF(Y194=1,SUMIF(Y201:Y205,"&gt;0"),0)</f>
        <v>0</v>
      </c>
      <c r="Z234" s="115">
        <f>IF(Z194=1,SUMIF(Z201:Z205,"&gt;0"),0)</f>
        <v>0</v>
      </c>
      <c r="AB234" s="168">
        <f>IF(AB194=1,SUMIF(AB201:AB205,"&gt;0"),0)</f>
        <v>0</v>
      </c>
      <c r="AC234" s="115">
        <f>IF(AC194=1,SUMIF(AC201:AC205,"&gt;0"),0)</f>
        <v>0</v>
      </c>
      <c r="AE234" s="168">
        <f>IF(AE194=1,SUMIF(AE201:AE205,"&gt;0"),0)</f>
        <v>0</v>
      </c>
      <c r="AF234" s="115">
        <f>SUM(B234:AE234)</f>
        <v>4</v>
      </c>
      <c r="AG234" s="115">
        <f>AF242-AF234</f>
        <v>0</v>
      </c>
      <c r="AT234" s="513"/>
      <c r="AU234" s="513"/>
      <c r="AV234" s="513"/>
      <c r="AW234" s="514"/>
      <c r="AX234" s="513"/>
      <c r="AY234" s="513"/>
    </row>
    <row r="235" spans="1:51" s="115" customFormat="1" ht="12.75" hidden="1" customHeight="1">
      <c r="A235" s="115" t="s">
        <v>39</v>
      </c>
      <c r="B235" s="115">
        <f>IF(B194=2,SUMIF(B201:B205,"&gt;0"),0)</f>
        <v>0</v>
      </c>
      <c r="D235" s="168">
        <f>IF(D194=2,SUMIF(D201:D205,"&gt;0"),0)</f>
        <v>0</v>
      </c>
      <c r="E235" s="115">
        <f>IF(E194=2,SUMIF(E201:E205,"&gt;0"),0)</f>
        <v>1</v>
      </c>
      <c r="G235" s="168">
        <f>IF(G194=2,SUMIF(G201:G205,"&gt;0"),0)</f>
        <v>0</v>
      </c>
      <c r="H235" s="115">
        <f>IF(H194=2,SUMIF(H201:H205,"&gt;0"),0)</f>
        <v>0</v>
      </c>
      <c r="J235" s="168">
        <f>IF(J194=2,SUMIF(J201:J205,"&gt;0"),0)</f>
        <v>0</v>
      </c>
      <c r="K235" s="115">
        <f>IF(K194=2,SUMIF(K201:K205,"&gt;0"),0)</f>
        <v>0</v>
      </c>
      <c r="M235" s="168">
        <f>IF(M194=2,SUMIF(M201:M205,"&gt;0"),0)</f>
        <v>0</v>
      </c>
      <c r="N235" s="115">
        <f>IF(N194=2,SUMIF(N201:N205,"&gt;0"),0)</f>
        <v>0</v>
      </c>
      <c r="P235" s="168">
        <f>IF(P194=2,SUMIF(P201:P205,"&gt;0"),0)</f>
        <v>0</v>
      </c>
      <c r="Q235" s="115">
        <f>IF(Q194=2,SUMIF(Q201:Q205,"&gt;0"),0)</f>
        <v>0</v>
      </c>
      <c r="S235" s="168">
        <f>IF(S194=2,SUMIF(S201:S205,"&gt;0"),0)</f>
        <v>0</v>
      </c>
      <c r="T235" s="115">
        <f>IF(T194=2,SUMIF(T201:T205,"&gt;0"),0)</f>
        <v>0</v>
      </c>
      <c r="V235" s="168">
        <f>IF(V194=2,SUMIF(V201:V205,"&gt;0"),0)</f>
        <v>0</v>
      </c>
      <c r="W235" s="115">
        <f>IF(W194=2,SUMIF(W201:W205,"&gt;0"),0)</f>
        <v>0</v>
      </c>
      <c r="Y235" s="168">
        <f>IF(Y194=2,SUMIF(Y201:Y205,"&gt;0"),0)</f>
        <v>0</v>
      </c>
      <c r="Z235" s="115">
        <f>IF(Z194=2,SUMIF(Z201:Z205,"&gt;0"),0)</f>
        <v>0</v>
      </c>
      <c r="AB235" s="168">
        <f>IF(AB194=2,SUMIF(AB201:AB205,"&gt;0"),0)</f>
        <v>0</v>
      </c>
      <c r="AC235" s="115">
        <f>IF(AC194=2,SUMIF(AC201:AC205,"&gt;0"),0)</f>
        <v>0</v>
      </c>
      <c r="AE235" s="168">
        <f>IF(AE194=2,SUMIF(AE201:AE205,"&gt;0"),0)</f>
        <v>0</v>
      </c>
      <c r="AF235" s="115">
        <f>SUM(B235:AE235)</f>
        <v>1</v>
      </c>
      <c r="AG235" s="115">
        <f>AF243-AF235</f>
        <v>3</v>
      </c>
      <c r="AT235" s="513"/>
      <c r="AU235" s="513"/>
      <c r="AV235" s="513"/>
      <c r="AW235" s="514"/>
      <c r="AX235" s="513"/>
      <c r="AY235" s="513"/>
    </row>
    <row r="236" spans="1:51" s="115" customFormat="1" ht="12.75" hidden="1" customHeight="1">
      <c r="A236" s="115" t="s">
        <v>40</v>
      </c>
      <c r="B236" s="115">
        <f>IF(B194=3,SUMIF(B201:B205,"&gt;0"),0)</f>
        <v>0</v>
      </c>
      <c r="D236" s="168">
        <f>IF(D194=3,SUMIF(D201:D205,"&gt;0"),0)</f>
        <v>0</v>
      </c>
      <c r="E236" s="115">
        <f>IF(E194=3,SUMIF(E201:E205,"&gt;0"),0)</f>
        <v>0</v>
      </c>
      <c r="G236" s="168">
        <f>IF(G194=3,SUMIF(G201:G205,"&gt;0"),0)</f>
        <v>1</v>
      </c>
      <c r="H236" s="115">
        <f>IF(H194=3,SUMIF(H201:H205,"&gt;0"),0)</f>
        <v>0</v>
      </c>
      <c r="J236" s="168">
        <f>IF(J194=3,SUMIF(J201:J205,"&gt;0"),0)</f>
        <v>0</v>
      </c>
      <c r="K236" s="115">
        <f>IF(K194=3,SUMIF(K201:K205,"&gt;0"),0)</f>
        <v>0</v>
      </c>
      <c r="M236" s="168">
        <f>IF(M194=3,SUMIF(M201:M205,"&gt;0"),0)</f>
        <v>0</v>
      </c>
      <c r="N236" s="115">
        <f>IF(N194=3,SUMIF(N201:N205,"&gt;0"),0)</f>
        <v>0</v>
      </c>
      <c r="P236" s="168">
        <f>IF(P194=3,SUMIF(P201:P205,"&gt;0"),0)</f>
        <v>0</v>
      </c>
      <c r="Q236" s="115">
        <f>IF(Q194=3,SUMIF(Q201:Q205,"&gt;0"),0)</f>
        <v>0</v>
      </c>
      <c r="S236" s="168">
        <f>IF(S194=3,SUMIF(S201:S205,"&gt;0"),0)</f>
        <v>0</v>
      </c>
      <c r="T236" s="115">
        <f>IF(T194=3,SUMIF(T201:T205,"&gt;0"),0)</f>
        <v>0</v>
      </c>
      <c r="V236" s="168">
        <f>IF(V194=3,SUMIF(V201:V205,"&gt;0"),0)</f>
        <v>0</v>
      </c>
      <c r="W236" s="115">
        <f>IF(W194=3,SUMIF(W201:W205,"&gt;0"),0)</f>
        <v>0</v>
      </c>
      <c r="Y236" s="168">
        <f>IF(Y194=3,SUMIF(Y201:Y205,"&gt;0"),0)</f>
        <v>0</v>
      </c>
      <c r="Z236" s="115">
        <f>IF(Z194=3,SUMIF(Z201:Z205,"&gt;0"),0)</f>
        <v>0</v>
      </c>
      <c r="AB236" s="168">
        <f>IF(AB194=3,SUMIF(AB201:AB205,"&gt;0"),0)</f>
        <v>0</v>
      </c>
      <c r="AC236" s="115">
        <f>IF(AC194=3,SUMIF(AC201:AC205,"&gt;0"),0)</f>
        <v>0</v>
      </c>
      <c r="AE236" s="168">
        <f>IF(AE194=3,SUMIF(AE201:AE205,"&gt;0"),0)</f>
        <v>0</v>
      </c>
      <c r="AF236" s="115">
        <f>SUM(B236:AE236)</f>
        <v>1</v>
      </c>
      <c r="AG236" s="115">
        <f>AF244-AF236</f>
        <v>3</v>
      </c>
      <c r="AT236" s="513"/>
      <c r="AU236" s="513"/>
      <c r="AV236" s="513"/>
      <c r="AW236" s="514"/>
      <c r="AX236" s="513"/>
      <c r="AY236" s="513"/>
    </row>
    <row r="237" spans="1:51" s="115" customFormat="1" ht="12.75" hidden="1" customHeight="1">
      <c r="A237" s="115" t="s">
        <v>41</v>
      </c>
      <c r="B237" s="115">
        <f>IF(B194=4,SUMIF(B201:B205,"&gt;0"),0)</f>
        <v>0</v>
      </c>
      <c r="D237" s="168">
        <f>IF(D194=4,SUMIF(D201:D205,"&gt;0"),0)</f>
        <v>0</v>
      </c>
      <c r="E237" s="115">
        <f>IF(E194=4,SUMIF(E201:E205,"&gt;0"),0)</f>
        <v>0</v>
      </c>
      <c r="G237" s="168">
        <f>IF(G194=4,SUMIF(G201:G205,"&gt;0"),0)</f>
        <v>0</v>
      </c>
      <c r="H237" s="115">
        <f>IF(H194=4,SUMIF(H201:H205,"&gt;0"),0)</f>
        <v>0</v>
      </c>
      <c r="J237" s="168">
        <f>IF(J194=4,SUMIF(J201:J205,"&gt;0"),0)</f>
        <v>0</v>
      </c>
      <c r="K237" s="115">
        <f>IF(K194=4,SUMIF(K201:K205,"&gt;0"),0)</f>
        <v>0</v>
      </c>
      <c r="M237" s="168">
        <f>IF(M194=4,SUMIF(M201:M205,"&gt;0"),0)</f>
        <v>0</v>
      </c>
      <c r="N237" s="115">
        <f>IF(N194=4,SUMIF(N201:N205,"&gt;0"),0)</f>
        <v>0</v>
      </c>
      <c r="P237" s="168">
        <f>IF(P194=4,SUMIF(P201:P205,"&gt;0"),0)</f>
        <v>0</v>
      </c>
      <c r="Q237" s="115">
        <f>IF(Q194=4,SUMIF(Q201:Q205,"&gt;0"),0)</f>
        <v>0</v>
      </c>
      <c r="S237" s="168">
        <f>IF(S194=4,SUMIF(S201:S205,"&gt;0"),0)</f>
        <v>0</v>
      </c>
      <c r="T237" s="115">
        <f>IF(T194=4,SUMIF(T201:T205,"&gt;0"),0)</f>
        <v>0</v>
      </c>
      <c r="V237" s="168">
        <f>IF(V194=4,SUMIF(V201:V205,"&gt;0"),0)</f>
        <v>0</v>
      </c>
      <c r="W237" s="115">
        <f>IF(W194=4,SUMIF(W201:W205,"&gt;0"),0)</f>
        <v>0</v>
      </c>
      <c r="Y237" s="168">
        <f>IF(Y194=4,SUMIF(Y201:Y205,"&gt;0"),0)</f>
        <v>0</v>
      </c>
      <c r="Z237" s="115">
        <f>IF(Z194=4,SUMIF(Z201:Z205,"&gt;0"),0)</f>
        <v>0</v>
      </c>
      <c r="AB237" s="168">
        <f>IF(AB194=4,SUMIF(AB201:AB205,"&gt;0"),0)</f>
        <v>0</v>
      </c>
      <c r="AC237" s="115">
        <f>IF(AC194=4,SUMIF(AC201:AC205,"&gt;0"),0)</f>
        <v>0</v>
      </c>
      <c r="AE237" s="168">
        <f>IF(AE194=4,SUMIF(AE201:AE205,"&gt;0"),0)</f>
        <v>0</v>
      </c>
      <c r="AF237" s="115">
        <f>SUM(B237:AE237)</f>
        <v>0</v>
      </c>
      <c r="AG237" s="115">
        <f>AF245-AF237</f>
        <v>0</v>
      </c>
      <c r="AT237" s="513"/>
      <c r="AU237" s="513"/>
      <c r="AV237" s="513"/>
      <c r="AW237" s="514"/>
      <c r="AX237" s="513"/>
      <c r="AY237" s="513"/>
    </row>
    <row r="238" spans="1:51" s="115" customFormat="1" ht="12.75" hidden="1" customHeight="1">
      <c r="A238" s="115" t="s">
        <v>42</v>
      </c>
      <c r="B238" s="115">
        <f>IF(B194=5,SUMIF(B201:B205,"&gt;0"),0)</f>
        <v>0</v>
      </c>
      <c r="D238" s="168">
        <f>IF(D194=5,SUMIF(D201:D205,"&gt;0"),0)</f>
        <v>0</v>
      </c>
      <c r="E238" s="115">
        <f>IF(E194=5,SUMIF(E201:E205,"&gt;0"),0)</f>
        <v>0</v>
      </c>
      <c r="G238" s="168">
        <f>IF(G194=5,SUMIF(G201:G205,"&gt;0"),0)</f>
        <v>0</v>
      </c>
      <c r="H238" s="115">
        <f>IF(H194=5,SUMIF(H201:H205,"&gt;0"),0)</f>
        <v>0</v>
      </c>
      <c r="J238" s="168">
        <f>IF(J194=5,SUMIF(J201:J205,"&gt;0"),0)</f>
        <v>0</v>
      </c>
      <c r="K238" s="115">
        <f>IF(K194=5,SUMIF(K201:K205,"&gt;0"),0)</f>
        <v>0</v>
      </c>
      <c r="M238" s="168">
        <f>IF(M194=5,SUMIF(M201:M205,"&gt;0"),0)</f>
        <v>0</v>
      </c>
      <c r="N238" s="115">
        <f>IF(N194=5,SUMIF(N201:N205,"&gt;0"),0)</f>
        <v>0</v>
      </c>
      <c r="P238" s="168">
        <f>IF(P194=5,SUMIF(P201:P205,"&gt;0"),0)</f>
        <v>0</v>
      </c>
      <c r="Q238" s="115">
        <f>IF(Q194=5,SUMIF(Q201:Q205,"&gt;0"),0)</f>
        <v>0</v>
      </c>
      <c r="S238" s="168">
        <f>IF(S194=5,SUMIF(S201:S205,"&gt;0"),0)</f>
        <v>0</v>
      </c>
      <c r="T238" s="115">
        <f>IF(T194=5,SUMIF(T201:T205,"&gt;0"),0)</f>
        <v>0</v>
      </c>
      <c r="V238" s="168">
        <f>IF(V194=5,SUMIF(V201:V205,"&gt;0"),0)</f>
        <v>0</v>
      </c>
      <c r="W238" s="115">
        <f>IF(W194=5,SUMIF(W201:W205,"&gt;0"),0)</f>
        <v>0</v>
      </c>
      <c r="Y238" s="168">
        <f>IF(Y194=5,SUMIF(Y201:Y205,"&gt;0"),0)</f>
        <v>0</v>
      </c>
      <c r="Z238" s="115">
        <f>IF(Z194=5,SUMIF(Z201:Z205,"&gt;0"),0)</f>
        <v>0</v>
      </c>
      <c r="AB238" s="168">
        <f>IF(AB194=5,SUMIF(AB201:AB205,"&gt;0"),0)</f>
        <v>0</v>
      </c>
      <c r="AC238" s="115">
        <f>IF(AC194=5,SUMIF(AC201:AC205,"&gt;0"),0)</f>
        <v>0</v>
      </c>
      <c r="AE238" s="168">
        <f>IF(AE194=5,SUMIF(AE201:AE205,"&gt;0"),0)</f>
        <v>0</v>
      </c>
      <c r="AF238" s="115">
        <f>SUM(B238:AE238)</f>
        <v>0</v>
      </c>
      <c r="AG238" s="115">
        <f>AF246-AF238</f>
        <v>0</v>
      </c>
      <c r="AT238" s="513"/>
      <c r="AU238" s="513"/>
      <c r="AV238" s="513"/>
      <c r="AW238" s="514"/>
      <c r="AX238" s="513"/>
      <c r="AY238" s="513"/>
    </row>
    <row r="239" spans="1:51" s="115" customFormat="1" ht="12.75" hidden="1" customHeight="1">
      <c r="D239" s="168"/>
      <c r="G239" s="168"/>
      <c r="J239" s="168"/>
      <c r="M239" s="168"/>
      <c r="P239" s="168"/>
      <c r="S239" s="168"/>
      <c r="V239" s="168"/>
      <c r="Y239" s="168"/>
      <c r="AB239" s="168"/>
      <c r="AE239" s="168"/>
      <c r="AT239" s="513"/>
      <c r="AU239" s="513"/>
      <c r="AV239" s="513"/>
      <c r="AW239" s="514"/>
      <c r="AX239" s="513"/>
      <c r="AY239" s="513"/>
    </row>
    <row r="240" spans="1:51" s="115" customFormat="1" ht="12.75" hidden="1" customHeight="1">
      <c r="D240" s="168"/>
      <c r="G240" s="168"/>
      <c r="J240" s="168"/>
      <c r="M240" s="168"/>
      <c r="P240" s="168"/>
      <c r="S240" s="168"/>
      <c r="V240" s="168"/>
      <c r="Y240" s="168"/>
      <c r="AB240" s="168"/>
      <c r="AE240" s="168"/>
      <c r="AT240" s="513"/>
      <c r="AU240" s="513"/>
      <c r="AV240" s="513"/>
      <c r="AW240" s="514"/>
      <c r="AX240" s="513"/>
      <c r="AY240" s="513"/>
    </row>
    <row r="241" spans="1:54" s="115" customFormat="1" ht="51" hidden="1" customHeight="1">
      <c r="A241" s="167" t="s">
        <v>221</v>
      </c>
      <c r="C241" s="115">
        <f>SUMIF(B234:D238,"&gt;0")</f>
        <v>2</v>
      </c>
      <c r="D241" s="168"/>
      <c r="F241" s="115">
        <f>SUMIF(E234:G238,"&gt;0")</f>
        <v>2</v>
      </c>
      <c r="G241" s="168"/>
      <c r="I241" s="115">
        <f>SUMIF(H234:J238,"&gt;0")</f>
        <v>2</v>
      </c>
      <c r="J241" s="168"/>
      <c r="L241" s="115">
        <f>SUMIF(K234:M238,"&gt;0")</f>
        <v>0</v>
      </c>
      <c r="M241" s="168"/>
      <c r="O241" s="115">
        <f>SUMIF(N234:P238,"&gt;0")</f>
        <v>0</v>
      </c>
      <c r="P241" s="168"/>
      <c r="R241" s="115">
        <f>SUMIF(Q234:S238,"&gt;0")</f>
        <v>0</v>
      </c>
      <c r="S241" s="168"/>
      <c r="U241" s="115">
        <f>SUMIF(T234:V238,"&gt;0")</f>
        <v>0</v>
      </c>
      <c r="V241" s="168"/>
      <c r="X241" s="115">
        <f>SUMIF(W234:Y238,"&gt;0")</f>
        <v>0</v>
      </c>
      <c r="Y241" s="168"/>
      <c r="AA241" s="115">
        <f>SUMIF(Z234:AB238,"&gt;0")</f>
        <v>0</v>
      </c>
      <c r="AB241" s="168"/>
      <c r="AD241" s="115">
        <f>SUMIF(AC234:AE238,"&gt;0")</f>
        <v>0</v>
      </c>
      <c r="AE241" s="168"/>
      <c r="AF241" s="167" t="s">
        <v>222</v>
      </c>
      <c r="AT241" s="513"/>
      <c r="AU241" s="513"/>
      <c r="AV241" s="513"/>
      <c r="AW241" s="514"/>
      <c r="AX241" s="513"/>
      <c r="AY241" s="513"/>
    </row>
    <row r="242" spans="1:54" s="115" customFormat="1" ht="12.75" hidden="1" customHeight="1">
      <c r="A242" s="115" t="s">
        <v>43</v>
      </c>
      <c r="B242" s="115">
        <f>IF(B194=1,C241,0)</f>
        <v>2</v>
      </c>
      <c r="D242" s="168">
        <f>IF(D194=1,C241,0)</f>
        <v>0</v>
      </c>
      <c r="E242" s="115">
        <f>IF(E194=1,F241,0)</f>
        <v>0</v>
      </c>
      <c r="G242" s="168">
        <f>IF(G194=1,F241,0)</f>
        <v>0</v>
      </c>
      <c r="H242" s="115">
        <f>IF(H194=1,I241,0)</f>
        <v>2</v>
      </c>
      <c r="J242" s="168">
        <f>IF(J194=1,I241,0)</f>
        <v>0</v>
      </c>
      <c r="K242" s="115">
        <f>IF(K194=1,L241,0)</f>
        <v>0</v>
      </c>
      <c r="M242" s="168">
        <f>IF(M194=1,L241,0)</f>
        <v>0</v>
      </c>
      <c r="N242" s="115">
        <f>IF(N194=1,O241,0)</f>
        <v>0</v>
      </c>
      <c r="P242" s="168">
        <f>IF(P194=1,O241,0)</f>
        <v>0</v>
      </c>
      <c r="Q242" s="115">
        <f>IF(Q194=1,R241,0)</f>
        <v>0</v>
      </c>
      <c r="S242" s="168">
        <f>IF(S194=1,R241,0)</f>
        <v>0</v>
      </c>
      <c r="T242" s="115">
        <f>IF(T194=1,U241,0)</f>
        <v>0</v>
      </c>
      <c r="V242" s="168">
        <f>IF(V194=1,U241,0)</f>
        <v>0</v>
      </c>
      <c r="W242" s="115">
        <f>IF(W194=1,X241,0)</f>
        <v>0</v>
      </c>
      <c r="Y242" s="168">
        <f>IF(Y194=1,X241,0)</f>
        <v>0</v>
      </c>
      <c r="Z242" s="115">
        <f>IF(Z194=1,AA241,0)</f>
        <v>0</v>
      </c>
      <c r="AB242" s="168">
        <f>IF(AB194=1,AA241,0)</f>
        <v>0</v>
      </c>
      <c r="AC242" s="115">
        <f>IF(AC194=1,AD241,0)</f>
        <v>0</v>
      </c>
      <c r="AE242" s="168">
        <f>IF(AE194=1,AD241,0)</f>
        <v>0</v>
      </c>
      <c r="AF242" s="115">
        <f>SUM(B242:AE242)</f>
        <v>4</v>
      </c>
      <c r="AT242" s="513"/>
      <c r="AU242" s="513"/>
      <c r="AV242" s="513"/>
      <c r="AW242" s="514"/>
      <c r="AX242" s="513"/>
      <c r="AY242" s="513"/>
    </row>
    <row r="243" spans="1:54" s="115" customFormat="1" ht="12.75" hidden="1" customHeight="1">
      <c r="A243" s="115" t="s">
        <v>44</v>
      </c>
      <c r="B243" s="115">
        <f>IF(B194=2,C241,0)</f>
        <v>0</v>
      </c>
      <c r="D243" s="168">
        <f>IF(D194=2,C241,0)</f>
        <v>2</v>
      </c>
      <c r="E243" s="115">
        <f>IF(E194=2,F241,0)</f>
        <v>2</v>
      </c>
      <c r="G243" s="168">
        <f>IF(G194=2,F241,0)</f>
        <v>0</v>
      </c>
      <c r="H243" s="115">
        <f>IF(H194=2,I241,0)</f>
        <v>0</v>
      </c>
      <c r="J243" s="168">
        <f>IF(J194=2,I241,0)</f>
        <v>0</v>
      </c>
      <c r="K243" s="115">
        <f>IF(K194=2,L241,0)</f>
        <v>0</v>
      </c>
      <c r="M243" s="168">
        <f>IF(M194=2,L241,0)</f>
        <v>0</v>
      </c>
      <c r="N243" s="115">
        <f>IF(N194=2,O241,0)</f>
        <v>0</v>
      </c>
      <c r="P243" s="168">
        <f>IF(P194=2,O241,0)</f>
        <v>0</v>
      </c>
      <c r="Q243" s="115">
        <f>IF(Q194=2,R241,0)</f>
        <v>0</v>
      </c>
      <c r="S243" s="168">
        <f>IF(S194=2,R241,0)</f>
        <v>0</v>
      </c>
      <c r="T243" s="115">
        <f>IF(T194=2,U241,0)</f>
        <v>0</v>
      </c>
      <c r="V243" s="168">
        <f>IF(V194=2,U241,0)</f>
        <v>0</v>
      </c>
      <c r="W243" s="115">
        <f>IF(W194=2,X241,0)</f>
        <v>0</v>
      </c>
      <c r="Y243" s="168">
        <f>IF(Y194=2,X241,0)</f>
        <v>0</v>
      </c>
      <c r="Z243" s="115">
        <f>IF(Z194=2,AA241,0)</f>
        <v>0</v>
      </c>
      <c r="AB243" s="168">
        <f>IF(AB194=2,AA241,0)</f>
        <v>0</v>
      </c>
      <c r="AC243" s="115">
        <f>IF(AC194=2,AD241,0)</f>
        <v>0</v>
      </c>
      <c r="AE243" s="168">
        <f>IF(AE194=2,AD241,0)</f>
        <v>0</v>
      </c>
      <c r="AF243" s="115">
        <f>SUM(B243:AE243)</f>
        <v>4</v>
      </c>
      <c r="AT243" s="513"/>
      <c r="AU243" s="513"/>
      <c r="AV243" s="513"/>
      <c r="AW243" s="514"/>
      <c r="AX243" s="513"/>
      <c r="AY243" s="513"/>
    </row>
    <row r="244" spans="1:54" s="115" customFormat="1" ht="12.75" hidden="1" customHeight="1">
      <c r="A244" s="115" t="s">
        <v>45</v>
      </c>
      <c r="B244" s="115">
        <f>IF(B194=3,C241,0)</f>
        <v>0</v>
      </c>
      <c r="D244" s="168">
        <f>IF(D194=3,C241,0)</f>
        <v>0</v>
      </c>
      <c r="E244" s="115">
        <f>IF(E194=3,F241,0)</f>
        <v>0</v>
      </c>
      <c r="G244" s="168">
        <f>IF(G194=3,F241,0)</f>
        <v>2</v>
      </c>
      <c r="H244" s="115">
        <f>IF(H194=3,I241,0)</f>
        <v>0</v>
      </c>
      <c r="J244" s="168">
        <f>IF(J194=3,I241,0)</f>
        <v>2</v>
      </c>
      <c r="K244" s="115">
        <f>IF(K194=3,L241,0)</f>
        <v>0</v>
      </c>
      <c r="M244" s="168">
        <f>IF(M194=3,L241,0)</f>
        <v>0</v>
      </c>
      <c r="N244" s="115">
        <f>IF(N194=3,O241,0)</f>
        <v>0</v>
      </c>
      <c r="P244" s="168">
        <f>IF(P194=3,O241,0)</f>
        <v>0</v>
      </c>
      <c r="Q244" s="115">
        <f>IF(Q194=3,R241,0)</f>
        <v>0</v>
      </c>
      <c r="S244" s="168">
        <f>IF(S194=3,R241,0)</f>
        <v>0</v>
      </c>
      <c r="T244" s="115">
        <f>IF(T194=3,U241,0)</f>
        <v>0</v>
      </c>
      <c r="V244" s="168">
        <f>IF(V194=3,U241,0)</f>
        <v>0</v>
      </c>
      <c r="W244" s="115">
        <f>IF(W194=3,X241,0)</f>
        <v>0</v>
      </c>
      <c r="Y244" s="168">
        <f>IF(Y194=3,X241,0)</f>
        <v>0</v>
      </c>
      <c r="Z244" s="115">
        <f>IF(Z194=3,AA241,0)</f>
        <v>0</v>
      </c>
      <c r="AB244" s="168">
        <f>IF(AB194=3,AA241,0)</f>
        <v>0</v>
      </c>
      <c r="AC244" s="115">
        <f>IF(AC194=3,AD241,0)</f>
        <v>0</v>
      </c>
      <c r="AE244" s="168">
        <f>IF(AE194=3,AD241,0)</f>
        <v>0</v>
      </c>
      <c r="AF244" s="115">
        <f>SUM(B244:AE244)</f>
        <v>4</v>
      </c>
      <c r="AT244" s="513"/>
      <c r="AU244" s="513"/>
      <c r="AV244" s="513"/>
      <c r="AW244" s="514"/>
      <c r="AX244" s="513"/>
      <c r="AY244" s="513"/>
    </row>
    <row r="245" spans="1:54" s="115" customFormat="1" ht="12.75" hidden="1" customHeight="1">
      <c r="A245" s="115" t="s">
        <v>46</v>
      </c>
      <c r="B245" s="115">
        <f>IF(B194=4,C241,0)</f>
        <v>0</v>
      </c>
      <c r="D245" s="168">
        <f>IF(D194=4,C241,0)</f>
        <v>0</v>
      </c>
      <c r="E245" s="115">
        <f>IF(E194=4,F241,0)</f>
        <v>0</v>
      </c>
      <c r="G245" s="168">
        <f>IF(G194=4,F241,0)</f>
        <v>0</v>
      </c>
      <c r="H245" s="115">
        <f>IF(H194=4,I241,0)</f>
        <v>0</v>
      </c>
      <c r="J245" s="168">
        <f>IF(J194=4,I241,0)</f>
        <v>0</v>
      </c>
      <c r="K245" s="115">
        <f>IF(K194=4,L241,0)</f>
        <v>0</v>
      </c>
      <c r="M245" s="168">
        <f>IF(M194=4,L241,0)</f>
        <v>0</v>
      </c>
      <c r="N245" s="115">
        <f>IF(N194=4,O241,0)</f>
        <v>0</v>
      </c>
      <c r="P245" s="168">
        <f>IF(P194=4,O241,0)</f>
        <v>0</v>
      </c>
      <c r="Q245" s="115">
        <f>IF(Q194=4,R241,0)</f>
        <v>0</v>
      </c>
      <c r="S245" s="168">
        <f>IF(S194=4,R241,0)</f>
        <v>0</v>
      </c>
      <c r="T245" s="115">
        <f>IF(T194=4,U241,0)</f>
        <v>0</v>
      </c>
      <c r="V245" s="168">
        <f>IF(V194=4,U241,0)</f>
        <v>0</v>
      </c>
      <c r="W245" s="115">
        <f>IF(W194=4,X241,0)</f>
        <v>0</v>
      </c>
      <c r="Y245" s="168">
        <f>IF(Y194=4,X241,0)</f>
        <v>0</v>
      </c>
      <c r="Z245" s="115">
        <f>IF(Z194=4,AA241,0)</f>
        <v>0</v>
      </c>
      <c r="AB245" s="168">
        <f>IF(AB194=4,AA241,0)</f>
        <v>0</v>
      </c>
      <c r="AC245" s="115">
        <f>IF(AC194=4,AD241,0)</f>
        <v>0</v>
      </c>
      <c r="AE245" s="168">
        <f>IF(AE194=4,AD241,0)</f>
        <v>0</v>
      </c>
      <c r="AF245" s="115">
        <f>SUM(B245:AE245)</f>
        <v>0</v>
      </c>
      <c r="AT245" s="513"/>
      <c r="AU245" s="513"/>
      <c r="AV245" s="513"/>
      <c r="AW245" s="514"/>
      <c r="AX245" s="513"/>
      <c r="AY245" s="513"/>
    </row>
    <row r="246" spans="1:54" s="115" customFormat="1" ht="12.75" hidden="1" customHeight="1">
      <c r="A246" s="115" t="s">
        <v>47</v>
      </c>
      <c r="B246" s="115">
        <f>IF(B194=5,C241,0)</f>
        <v>0</v>
      </c>
      <c r="D246" s="168">
        <f>IF(D194=5,C241,0)</f>
        <v>0</v>
      </c>
      <c r="E246" s="115">
        <f>IF(E194=5,F241,0)</f>
        <v>0</v>
      </c>
      <c r="G246" s="168">
        <f>IF(G194=5,F241,0)</f>
        <v>0</v>
      </c>
      <c r="H246" s="115">
        <f>IF(H194=5,I241,0)</f>
        <v>0</v>
      </c>
      <c r="J246" s="168">
        <f>IF(J194=5,I241,0)</f>
        <v>0</v>
      </c>
      <c r="K246" s="115">
        <f>IF(K194=5,L241,0)</f>
        <v>0</v>
      </c>
      <c r="M246" s="168">
        <f>IF(M194=5,L241,0)</f>
        <v>0</v>
      </c>
      <c r="N246" s="115">
        <f>IF(N194=5,O241,0)</f>
        <v>0</v>
      </c>
      <c r="P246" s="168">
        <f>IF(P194=5,O241,0)</f>
        <v>0</v>
      </c>
      <c r="Q246" s="115">
        <f>IF(Q194=5,R241,0)</f>
        <v>0</v>
      </c>
      <c r="S246" s="168">
        <f>IF(S194=5,R241,0)</f>
        <v>0</v>
      </c>
      <c r="T246" s="115">
        <f>IF(T194=5,U241,0)</f>
        <v>0</v>
      </c>
      <c r="V246" s="168">
        <f>IF(V194=5,U241,0)</f>
        <v>0</v>
      </c>
      <c r="W246" s="115">
        <f>IF(W194=5,X241,0)</f>
        <v>0</v>
      </c>
      <c r="Y246" s="168">
        <f>IF(Y194=5,X241,0)</f>
        <v>0</v>
      </c>
      <c r="Z246" s="115">
        <f>IF(Z194=5,AA241,0)</f>
        <v>0</v>
      </c>
      <c r="AB246" s="168">
        <f>IF(AB194=5,AA241,0)</f>
        <v>0</v>
      </c>
      <c r="AC246" s="115">
        <f>IF(AC194=5,AD241,0)</f>
        <v>0</v>
      </c>
      <c r="AE246" s="168">
        <f>IF(AE194=5,AD241,0)</f>
        <v>0</v>
      </c>
      <c r="AF246" s="115">
        <f>SUM(B246:AE246)</f>
        <v>0</v>
      </c>
      <c r="AT246" s="513"/>
      <c r="AU246" s="513"/>
      <c r="AV246" s="513"/>
      <c r="AW246" s="514"/>
      <c r="AX246" s="513"/>
      <c r="AY246" s="513"/>
    </row>
    <row r="247" spans="1:54" hidden="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c r="W247" s="118"/>
      <c r="X247" s="118"/>
      <c r="Y247" s="118"/>
      <c r="Z247" s="118"/>
      <c r="AA247" s="118"/>
      <c r="AB247" s="118"/>
      <c r="AC247" s="118"/>
      <c r="AD247" s="118"/>
      <c r="AE247" s="118"/>
      <c r="AF247" s="118"/>
      <c r="AG247" s="118"/>
      <c r="AH247" s="118"/>
      <c r="AI247" s="118"/>
      <c r="AJ247" s="118"/>
      <c r="AK247" s="118"/>
      <c r="AL247" s="118"/>
      <c r="AM247" s="118"/>
      <c r="AN247" s="119"/>
      <c r="AO247" s="119"/>
      <c r="AP247" s="119"/>
      <c r="AQ247" s="119"/>
      <c r="AR247" s="117"/>
      <c r="AS247" s="117"/>
      <c r="AT247" s="513"/>
      <c r="AU247" s="513"/>
      <c r="AV247" s="513"/>
      <c r="BB247" s="39"/>
    </row>
    <row r="248" spans="1:54" s="117" customFormat="1" hidden="1">
      <c r="A248" s="34"/>
      <c r="B248" s="34"/>
      <c r="C248" s="34" t="s">
        <v>223</v>
      </c>
      <c r="D248" s="34">
        <v>1</v>
      </c>
      <c r="E248" s="34"/>
      <c r="F248" s="34"/>
      <c r="G248" s="34">
        <v>2</v>
      </c>
      <c r="H248" s="34"/>
      <c r="I248" s="34"/>
      <c r="J248" s="34">
        <v>3</v>
      </c>
      <c r="K248" s="34"/>
      <c r="L248" s="34"/>
      <c r="M248" s="34">
        <v>4</v>
      </c>
      <c r="N248" s="34"/>
      <c r="O248" s="34"/>
      <c r="P248" s="34">
        <v>5</v>
      </c>
      <c r="Q248" s="34"/>
      <c r="R248" s="34"/>
      <c r="S248" s="34">
        <v>6</v>
      </c>
      <c r="T248" s="34"/>
      <c r="U248" s="34"/>
      <c r="V248" s="34">
        <v>7</v>
      </c>
      <c r="W248" s="34"/>
      <c r="X248" s="34"/>
      <c r="Y248" s="34">
        <v>8</v>
      </c>
      <c r="Z248" s="34"/>
      <c r="AA248" s="34"/>
      <c r="AB248" s="34">
        <v>9</v>
      </c>
      <c r="AC248" s="34"/>
      <c r="AD248" s="34"/>
      <c r="AE248" s="34">
        <v>10</v>
      </c>
      <c r="AF248" s="3"/>
      <c r="AG248" s="34"/>
      <c r="AI248" s="169"/>
      <c r="AJ248" s="3"/>
      <c r="AK248" s="3"/>
      <c r="AL248" s="3"/>
      <c r="AM248" s="3"/>
      <c r="AN248" s="3"/>
      <c r="AO248" s="3"/>
      <c r="AT248" s="515" t="s">
        <v>224</v>
      </c>
      <c r="AU248" s="513"/>
      <c r="AV248" s="513"/>
      <c r="AW248" s="514"/>
      <c r="AX248" s="513"/>
      <c r="AY248" s="513"/>
      <c r="BB248" s="170"/>
    </row>
    <row r="249" spans="1:54" s="117" customFormat="1" hidden="1">
      <c r="A249" s="171">
        <v>1</v>
      </c>
      <c r="B249" s="171" t="str">
        <f>E178</f>
        <v>Magnum Aiken 12 Green</v>
      </c>
      <c r="C249" s="171">
        <f>VLOOKUP(B249,AU$3:BB$33,3,FALSE)</f>
        <v>1400</v>
      </c>
      <c r="D249" s="171">
        <f>IF(B242,B257,IF(D242,D257,C249))</f>
        <v>1415.3761966945308</v>
      </c>
      <c r="E249" s="171"/>
      <c r="F249" s="171"/>
      <c r="G249" s="171">
        <f>IF(E242,E257,IF(G242,G257,D249))</f>
        <v>1415.3761966945308</v>
      </c>
      <c r="H249" s="171"/>
      <c r="I249" s="171"/>
      <c r="J249" s="171">
        <f>IF(H242,H257,IF(J242,J257,G249))</f>
        <v>1429.6517072742154</v>
      </c>
      <c r="K249" s="171"/>
      <c r="L249" s="171"/>
      <c r="M249" s="171">
        <f>IF(K242,K257,IF(M242,M257,J249))</f>
        <v>1429.6517072742154</v>
      </c>
      <c r="N249" s="171"/>
      <c r="O249" s="171"/>
      <c r="P249" s="171">
        <f>IF(N242,N257,IF(P242,P257,M249))</f>
        <v>1429.6517072742154</v>
      </c>
      <c r="Q249" s="171"/>
      <c r="R249" s="171"/>
      <c r="S249" s="171">
        <f>IF(Q242,Q257,IF(S242,S257,P249))</f>
        <v>1429.6517072742154</v>
      </c>
      <c r="T249" s="171"/>
      <c r="U249" s="171"/>
      <c r="V249" s="171">
        <f>IF(T242,T257,IF(V242,V257,S249))</f>
        <v>1429.6517072742154</v>
      </c>
      <c r="W249" s="171"/>
      <c r="X249" s="171"/>
      <c r="Y249" s="171">
        <f>IF(W242,W257,IF(Y242,Y257,V249))</f>
        <v>1429.6517072742154</v>
      </c>
      <c r="Z249" s="171"/>
      <c r="AA249" s="171"/>
      <c r="AB249" s="171">
        <f>IF(Z242,Z257,IF(AB242,AB257,Y249))</f>
        <v>1429.6517072742154</v>
      </c>
      <c r="AC249" s="171"/>
      <c r="AD249" s="171"/>
      <c r="AE249" s="171">
        <f>IF(AC242,AC257,IF(AE242,AE257,AB249))</f>
        <v>1429.6517072742154</v>
      </c>
      <c r="AF249" s="3"/>
      <c r="AG249" s="3"/>
      <c r="AJ249" s="3"/>
      <c r="AK249" s="3"/>
      <c r="AL249" s="3"/>
      <c r="AM249" s="3"/>
      <c r="AN249" s="3"/>
      <c r="AO249" s="3"/>
      <c r="AT249" s="513" t="str">
        <f>B249</f>
        <v>Magnum Aiken 12 Green</v>
      </c>
      <c r="AU249" s="513">
        <f>AE249</f>
        <v>1429.6517072742154</v>
      </c>
      <c r="AV249" s="513"/>
      <c r="AW249" s="514"/>
      <c r="AX249" s="513"/>
      <c r="AY249" s="513"/>
      <c r="BB249" s="170"/>
    </row>
    <row r="250" spans="1:54" s="117" customFormat="1" hidden="1">
      <c r="A250" s="171">
        <v>2</v>
      </c>
      <c r="B250" s="171" t="str">
        <f>E180</f>
        <v>Excell U12 Devel</v>
      </c>
      <c r="C250" s="171">
        <f>VLOOKUP(B250,AU$3:BB$33,3,FALSE)</f>
        <v>1200</v>
      </c>
      <c r="D250" s="171">
        <f>IF(B243,B257,IF(D243,D257,C250))</f>
        <v>1184.6238033054692</v>
      </c>
      <c r="E250" s="171"/>
      <c r="F250" s="171"/>
      <c r="G250" s="171">
        <f>IF(E243,E257,IF(G243,G257,D250))</f>
        <v>1186.0390794838293</v>
      </c>
      <c r="H250" s="171"/>
      <c r="I250" s="171"/>
      <c r="J250" s="171">
        <f>IF(H243,H257,IF(J243,J257,G250))</f>
        <v>1186.0390794838293</v>
      </c>
      <c r="K250" s="171"/>
      <c r="L250" s="171"/>
      <c r="M250" s="171">
        <f>IF(K243,K257,IF(M243,M257,J250))</f>
        <v>1186.0390794838293</v>
      </c>
      <c r="N250" s="171"/>
      <c r="O250" s="171"/>
      <c r="P250" s="171">
        <f>IF(N243,N257,IF(P243,P257,M250))</f>
        <v>1186.0390794838293</v>
      </c>
      <c r="Q250" s="171"/>
      <c r="R250" s="171"/>
      <c r="S250" s="171">
        <f>IF(Q243,Q257,IF(S243,S257,P250))</f>
        <v>1186.0390794838293</v>
      </c>
      <c r="T250" s="171"/>
      <c r="U250" s="171"/>
      <c r="V250" s="171">
        <f>IF(T243,T257,IF(V243,V257,S250))</f>
        <v>1186.0390794838293</v>
      </c>
      <c r="W250" s="171"/>
      <c r="X250" s="171"/>
      <c r="Y250" s="171">
        <f>IF(W243,W257,IF(Y243,Y257,V250))</f>
        <v>1186.0390794838293</v>
      </c>
      <c r="Z250" s="171"/>
      <c r="AA250" s="171"/>
      <c r="AB250" s="171">
        <f>IF(Z243,Z257,IF(AB243,AB257,Y250))</f>
        <v>1186.0390794838293</v>
      </c>
      <c r="AC250" s="171"/>
      <c r="AD250" s="171"/>
      <c r="AE250" s="171">
        <f>IF(AC243,AC257,IF(AE243,AE257,AB250))</f>
        <v>1186.0390794838293</v>
      </c>
      <c r="AF250" s="3"/>
      <c r="AG250" s="3"/>
      <c r="AJ250" s="3"/>
      <c r="AL250" s="3"/>
      <c r="AM250" s="3"/>
      <c r="AN250" s="3"/>
      <c r="AO250" s="3"/>
      <c r="AT250" s="513" t="str">
        <f>B250</f>
        <v>Excell U12 Devel</v>
      </c>
      <c r="AU250" s="513">
        <f>AE250</f>
        <v>1186.0390794838293</v>
      </c>
      <c r="AV250" s="513"/>
      <c r="AW250" s="514"/>
      <c r="AX250" s="513"/>
      <c r="AY250" s="513"/>
      <c r="BB250" s="170"/>
    </row>
    <row r="251" spans="1:54" s="117" customFormat="1" hidden="1">
      <c r="A251" s="171">
        <v>3</v>
      </c>
      <c r="B251" s="171" t="str">
        <f>E182</f>
        <v>Intense Kids power Gvl</v>
      </c>
      <c r="C251" s="171">
        <f>VLOOKUP(B251,AU$3:BB$33,3,FALSE)</f>
        <v>1200</v>
      </c>
      <c r="D251" s="171">
        <f>IF(B244,B257,IF(D244,D257,C251))</f>
        <v>1200</v>
      </c>
      <c r="E251" s="171"/>
      <c r="F251" s="171"/>
      <c r="G251" s="171">
        <f>IF(E244,E257,IF(G244,G257,D251))</f>
        <v>1198.58472382164</v>
      </c>
      <c r="H251" s="171"/>
      <c r="I251" s="171"/>
      <c r="J251" s="171">
        <f>IF(H244,H257,IF(J244,J257,G251))</f>
        <v>1184.3092132419554</v>
      </c>
      <c r="K251" s="171"/>
      <c r="L251" s="171"/>
      <c r="M251" s="171">
        <f>IF(K244,K257,IF(M244,M257,J251))</f>
        <v>1184.3092132419554</v>
      </c>
      <c r="N251" s="171"/>
      <c r="O251" s="171"/>
      <c r="P251" s="171">
        <f>IF(N244,N257,IF(P244,P257,M251))</f>
        <v>1184.3092132419554</v>
      </c>
      <c r="Q251" s="171"/>
      <c r="R251" s="171"/>
      <c r="S251" s="171">
        <f>IF(Q244,Q257,IF(S244,S257,P251))</f>
        <v>1184.3092132419554</v>
      </c>
      <c r="T251" s="171"/>
      <c r="U251" s="171"/>
      <c r="V251" s="171">
        <f>IF(T244,T257,IF(V244,V257,S251))</f>
        <v>1184.3092132419554</v>
      </c>
      <c r="W251" s="171"/>
      <c r="X251" s="171"/>
      <c r="Y251" s="171">
        <f>IF(W244,W257,IF(Y244,Y257,V251))</f>
        <v>1184.3092132419554</v>
      </c>
      <c r="Z251" s="171"/>
      <c r="AA251" s="171"/>
      <c r="AB251" s="171">
        <f>IF(Z244,Z257,IF(AB244,AB257,Y251))</f>
        <v>1184.3092132419554</v>
      </c>
      <c r="AC251" s="171"/>
      <c r="AD251" s="171"/>
      <c r="AE251" s="171">
        <f>IF(AC244,AC257,IF(AE244,AE257,AB251))</f>
        <v>1184.3092132419554</v>
      </c>
      <c r="AF251" s="3"/>
      <c r="AG251" s="3"/>
      <c r="AJ251" s="3"/>
      <c r="AL251" s="3"/>
      <c r="AM251" s="3"/>
      <c r="AN251" s="3"/>
      <c r="AO251" s="3"/>
      <c r="AT251" s="513" t="str">
        <f>B251</f>
        <v>Intense Kids power Gvl</v>
      </c>
      <c r="AU251" s="513">
        <f>AE251</f>
        <v>1184.3092132419554</v>
      </c>
      <c r="AV251" s="513"/>
      <c r="AW251" s="514"/>
      <c r="AX251" s="513"/>
      <c r="AY251" s="513"/>
      <c r="BB251" s="170"/>
    </row>
    <row r="252" spans="1:54" s="117" customFormat="1" hidden="1">
      <c r="A252" s="171">
        <v>4</v>
      </c>
      <c r="B252" s="171" t="str">
        <f>E184</f>
        <v>Team 10</v>
      </c>
      <c r="C252" s="171">
        <f>VLOOKUP(B252,AU$3:BB$33,3,FALSE)</f>
        <v>2010</v>
      </c>
      <c r="D252" s="171">
        <f>IF(B245,B257,IF(D245,D257,C252))</f>
        <v>2010</v>
      </c>
      <c r="E252" s="171"/>
      <c r="F252" s="171"/>
      <c r="G252" s="171">
        <f>IF(E245,E257,IF(G245,G257,D252))</f>
        <v>2010</v>
      </c>
      <c r="H252" s="171"/>
      <c r="I252" s="171"/>
      <c r="J252" s="171">
        <f>IF(H245,H257,IF(J245,J257,G252))</f>
        <v>2010</v>
      </c>
      <c r="K252" s="171"/>
      <c r="L252" s="171"/>
      <c r="M252" s="171">
        <f>IF(K245,K257,IF(M245,M257,J252))</f>
        <v>2010</v>
      </c>
      <c r="N252" s="171"/>
      <c r="O252" s="171"/>
      <c r="P252" s="171">
        <f>IF(N245,N257,IF(P245,P257,M252))</f>
        <v>2010</v>
      </c>
      <c r="Q252" s="171"/>
      <c r="R252" s="171"/>
      <c r="S252" s="171">
        <f>IF(Q245,Q257,IF(S245,S257,P252))</f>
        <v>2010</v>
      </c>
      <c r="T252" s="171"/>
      <c r="U252" s="171"/>
      <c r="V252" s="171">
        <f>IF(T245,T257,IF(V245,V257,S252))</f>
        <v>2010</v>
      </c>
      <c r="W252" s="171"/>
      <c r="X252" s="171"/>
      <c r="Y252" s="171">
        <f>IF(W245,W257,IF(Y245,Y257,V252))</f>
        <v>2010</v>
      </c>
      <c r="Z252" s="171"/>
      <c r="AA252" s="171"/>
      <c r="AB252" s="171">
        <f>IF(Z245,Z257,IF(AB245,AB257,Y252))</f>
        <v>2010</v>
      </c>
      <c r="AC252" s="171"/>
      <c r="AD252" s="171"/>
      <c r="AE252" s="171">
        <f>IF(AC245,AC257,IF(AE245,AE257,AB252))</f>
        <v>2010</v>
      </c>
      <c r="AF252" s="3"/>
      <c r="AG252" s="3"/>
      <c r="AJ252" s="3"/>
      <c r="AL252" s="3"/>
      <c r="AM252" s="3"/>
      <c r="AN252" s="3"/>
      <c r="AO252" s="3"/>
      <c r="AT252" s="513" t="str">
        <f>B252</f>
        <v>Team 10</v>
      </c>
      <c r="AU252" s="513">
        <f>AE252</f>
        <v>2010</v>
      </c>
      <c r="AV252" s="513"/>
      <c r="AW252" s="514"/>
      <c r="AX252" s="513"/>
      <c r="AY252" s="513"/>
      <c r="BB252" s="170"/>
    </row>
    <row r="253" spans="1:54" s="117" customFormat="1" hidden="1">
      <c r="A253" s="171">
        <v>5</v>
      </c>
      <c r="B253" s="171">
        <f>E186</f>
        <v>0</v>
      </c>
      <c r="C253" s="171" t="e">
        <f>VLOOKUP(B253,AU$3:BB$33,3,FALSE)</f>
        <v>#N/A</v>
      </c>
      <c r="D253" s="171" t="e">
        <f>IF(B246,B257,IF(D246,D257,C253))</f>
        <v>#N/A</v>
      </c>
      <c r="E253" s="171"/>
      <c r="F253" s="171"/>
      <c r="G253" s="171" t="e">
        <f>IF(E246,E257,IF(G246,G257,D253))</f>
        <v>#N/A</v>
      </c>
      <c r="H253" s="171"/>
      <c r="I253" s="171"/>
      <c r="J253" s="171" t="e">
        <f>IF(H246,H257,IF(J246,J257,G253))</f>
        <v>#N/A</v>
      </c>
      <c r="K253" s="171"/>
      <c r="L253" s="171"/>
      <c r="M253" s="171" t="e">
        <f>IF(K246,K257,IF(M246,M257,J253))</f>
        <v>#N/A</v>
      </c>
      <c r="N253" s="171"/>
      <c r="O253" s="171"/>
      <c r="P253" s="171" t="e">
        <f>IF(N246,N257,IF(P246,P257,M253))</f>
        <v>#N/A</v>
      </c>
      <c r="Q253" s="171"/>
      <c r="R253" s="171"/>
      <c r="S253" s="171" t="e">
        <f>IF(Q246,Q257,IF(S246,S257,P253))</f>
        <v>#N/A</v>
      </c>
      <c r="T253" s="171"/>
      <c r="U253" s="171"/>
      <c r="V253" s="171" t="e">
        <f>IF(T246,T257,IF(V246,V257,S253))</f>
        <v>#N/A</v>
      </c>
      <c r="W253" s="171"/>
      <c r="X253" s="171"/>
      <c r="Y253" s="171" t="e">
        <f>IF(W246,W257,IF(Y246,Y257,V253))</f>
        <v>#N/A</v>
      </c>
      <c r="Z253" s="171"/>
      <c r="AA253" s="171"/>
      <c r="AB253" s="171" t="e">
        <f>IF(Z246,Z257,IF(AB246,AB257,Y253))</f>
        <v>#N/A</v>
      </c>
      <c r="AC253" s="171"/>
      <c r="AD253" s="171"/>
      <c r="AE253" s="171" t="e">
        <f>IF(AC246,AC257,IF(AE246,AE257,AB253))</f>
        <v>#N/A</v>
      </c>
      <c r="AF253" s="3"/>
      <c r="AG253" s="3"/>
      <c r="AJ253" s="3"/>
      <c r="AL253" s="3"/>
      <c r="AM253" s="3"/>
      <c r="AN253" s="3"/>
      <c r="AO253" s="3"/>
      <c r="AT253" s="513">
        <f>B253</f>
        <v>0</v>
      </c>
      <c r="AU253" s="513" t="e">
        <f>AE253</f>
        <v>#N/A</v>
      </c>
      <c r="AV253" s="513"/>
      <c r="AW253" s="514"/>
      <c r="AX253" s="513"/>
      <c r="AY253" s="513"/>
      <c r="BB253" s="170"/>
    </row>
    <row r="254" spans="1:54" s="117" customFormat="1" hidden="1">
      <c r="A254" s="171"/>
      <c r="B254" s="171"/>
      <c r="C254" s="171"/>
      <c r="D254" s="171"/>
      <c r="E254" s="171"/>
      <c r="F254" s="171"/>
      <c r="G254" s="171"/>
      <c r="H254" s="171"/>
      <c r="I254" s="171"/>
      <c r="J254" s="171"/>
      <c r="K254" s="171"/>
      <c r="L254" s="171"/>
      <c r="M254" s="171"/>
      <c r="N254" s="171"/>
      <c r="O254" s="171"/>
      <c r="P254" s="171"/>
      <c r="Q254" s="171"/>
      <c r="R254" s="171"/>
      <c r="S254" s="171"/>
      <c r="T254" s="171"/>
      <c r="U254" s="171"/>
      <c r="V254" s="171"/>
      <c r="W254" s="171"/>
      <c r="X254" s="171"/>
      <c r="Y254" s="171"/>
      <c r="Z254" s="171"/>
      <c r="AA254" s="171"/>
      <c r="AB254" s="171"/>
      <c r="AC254" s="171"/>
      <c r="AD254" s="171"/>
      <c r="AE254" s="171"/>
      <c r="AF254" s="3"/>
      <c r="AG254" s="3"/>
      <c r="AJ254" s="3"/>
      <c r="AL254" s="3"/>
      <c r="AM254" s="3"/>
      <c r="AN254" s="3"/>
      <c r="AO254" s="3"/>
      <c r="AT254" s="513"/>
      <c r="AU254" s="513"/>
      <c r="AV254" s="513"/>
      <c r="AW254" s="514"/>
      <c r="AX254" s="513"/>
      <c r="AY254" s="513"/>
      <c r="BB254" s="170"/>
    </row>
    <row r="255" spans="1:54" s="117" customFormat="1" hidden="1">
      <c r="A255" s="171" t="s">
        <v>225</v>
      </c>
      <c r="B255" s="171">
        <f>VLOOKUP(B194,$A249:$AE253,3,FALSE)</f>
        <v>1400</v>
      </c>
      <c r="C255" s="171">
        <v>1</v>
      </c>
      <c r="D255" s="171">
        <f>VLOOKUP(D194,$A249:$AE253,3,FALSE)</f>
        <v>1200</v>
      </c>
      <c r="E255" s="171">
        <f>VLOOKUP(E194,$A249:$AE253,4,FALSE)</f>
        <v>1184.6238033054692</v>
      </c>
      <c r="F255" s="171">
        <v>2</v>
      </c>
      <c r="G255" s="171">
        <f>VLOOKUP(G194,$A249:$AE253,4,FALSE)</f>
        <v>1200</v>
      </c>
      <c r="H255" s="171">
        <f>VLOOKUP(H194,$A249:$AE253,7,FALSE)</f>
        <v>1415.3761966945308</v>
      </c>
      <c r="I255" s="171">
        <v>3</v>
      </c>
      <c r="J255" s="171">
        <f>VLOOKUP(J194,$A249:$AE253,7,FALSE)</f>
        <v>1198.58472382164</v>
      </c>
      <c r="K255" s="171" t="e">
        <f>VLOOKUP(K194,$A249:$AE253,10,FALSE)</f>
        <v>#N/A</v>
      </c>
      <c r="L255" s="171">
        <v>4</v>
      </c>
      <c r="M255" s="171" t="e">
        <f>VLOOKUP(M194,$A249:$AE253,10,FALSE)</f>
        <v>#N/A</v>
      </c>
      <c r="N255" s="171" t="e">
        <f>VLOOKUP(N194,$A249:$AE253,13,FALSE)</f>
        <v>#N/A</v>
      </c>
      <c r="O255" s="171">
        <v>5</v>
      </c>
      <c r="P255" s="171" t="e">
        <f>VLOOKUP(P194,$A249:$AE253,13,FALSE)</f>
        <v>#N/A</v>
      </c>
      <c r="Q255" s="171" t="e">
        <f>VLOOKUP(Q194,$A249:$AE253,16,FALSE)</f>
        <v>#N/A</v>
      </c>
      <c r="R255" s="171">
        <v>6</v>
      </c>
      <c r="S255" s="171" t="e">
        <f>VLOOKUP(S194,$A249:$AE253,16,FALSE)</f>
        <v>#N/A</v>
      </c>
      <c r="T255" s="171" t="e">
        <f>VLOOKUP(T194,$A249:$AE253,19,FALSE)</f>
        <v>#N/A</v>
      </c>
      <c r="U255" s="171">
        <v>7</v>
      </c>
      <c r="V255" s="171" t="e">
        <f>VLOOKUP(V194,$A249:$AE253,19,FALSE)</f>
        <v>#N/A</v>
      </c>
      <c r="W255" s="171" t="e">
        <f>VLOOKUP(W194,$A249:$AE253,22,FALSE)</f>
        <v>#N/A</v>
      </c>
      <c r="X255" s="171">
        <v>8</v>
      </c>
      <c r="Y255" s="171" t="e">
        <f>VLOOKUP(Y194,$A249:$AE253,22,FALSE)</f>
        <v>#N/A</v>
      </c>
      <c r="Z255" s="171" t="e">
        <f>VLOOKUP(Z194,$A249:$AE253,25,FALSE)</f>
        <v>#N/A</v>
      </c>
      <c r="AA255" s="171">
        <v>9</v>
      </c>
      <c r="AB255" s="171" t="e">
        <f>VLOOKUP(AB194,$A249:$AE253,25,FALSE)</f>
        <v>#N/A</v>
      </c>
      <c r="AC255" s="171" t="e">
        <f>VLOOKUP(AC194,$A249:$AE253,28,FALSE)</f>
        <v>#N/A</v>
      </c>
      <c r="AD255" s="171">
        <v>10</v>
      </c>
      <c r="AE255" s="171" t="e">
        <f>VLOOKUP(AE194,$A249:$AE253,28,FALSE)</f>
        <v>#N/A</v>
      </c>
      <c r="AF255" s="3"/>
      <c r="AG255" s="118"/>
      <c r="AH255" s="118"/>
      <c r="AI255" s="118"/>
      <c r="AJ255" s="118"/>
      <c r="AK255" s="118"/>
      <c r="AL255" s="118"/>
      <c r="AM255" s="118"/>
      <c r="AN255" s="119"/>
      <c r="AO255" s="119"/>
      <c r="AP255" s="119"/>
      <c r="AQ255" s="119"/>
      <c r="AT255" s="513"/>
      <c r="AU255" s="513"/>
      <c r="AV255" s="513"/>
      <c r="AW255" s="514"/>
      <c r="AX255" s="513"/>
      <c r="AY255" s="513"/>
      <c r="BB255" s="170"/>
    </row>
    <row r="256" spans="1:54" s="176" customFormat="1" hidden="1">
      <c r="A256" s="172" t="s">
        <v>226</v>
      </c>
      <c r="B256" s="172">
        <f>1/(1+(10^-((B255-D255)/400)))*(B206+D206)</f>
        <v>1.5194938532959157</v>
      </c>
      <c r="C256" s="172"/>
      <c r="D256" s="172">
        <f>1/(1+(10^-((D255-B255)/400)))*(B206+D206)</f>
        <v>0.4805061467040842</v>
      </c>
      <c r="E256" s="172">
        <f>1/(1+(10^-((E255-G255)/400)))*(E206+G206)</f>
        <v>0.95577261942624914</v>
      </c>
      <c r="F256" s="172"/>
      <c r="G256" s="172">
        <f>1/(1+(10^-((G255-E255)/400)))*(E206+G206)</f>
        <v>1.044227380573751</v>
      </c>
      <c r="H256" s="172">
        <f>1/(1+(10^-((H255-J255)/400)))*(H206+J206)</f>
        <v>1.5538902943848603</v>
      </c>
      <c r="I256" s="172"/>
      <c r="J256" s="172">
        <f>1/(1+(10^-((J255-H255)/400)))*(H206+J206)</f>
        <v>0.4461097056151398</v>
      </c>
      <c r="K256" s="172" t="e">
        <f>1/(1+(10^-((K255-M255)/400)))*(K206+M206)</f>
        <v>#N/A</v>
      </c>
      <c r="L256" s="172"/>
      <c r="M256" s="172" t="e">
        <f>1/(1+(10^-((M255-K255)/400)))*(K206+M206)</f>
        <v>#N/A</v>
      </c>
      <c r="N256" s="172" t="e">
        <f>1/(1+(10^-((N255-P255)/400)))*(N206+P206)</f>
        <v>#N/A</v>
      </c>
      <c r="O256" s="172"/>
      <c r="P256" s="172" t="e">
        <f>1/(1+(10^-((P255-N255)/400)))*(N206+P206)</f>
        <v>#N/A</v>
      </c>
      <c r="Q256" s="172" t="e">
        <f>1/(1+(10^-((Q255-S255)/400)))*(Q206+S206)</f>
        <v>#N/A</v>
      </c>
      <c r="R256" s="172"/>
      <c r="S256" s="172" t="e">
        <f>1/(1+(10^-((S255-Q255)/400)))*(Q206+S206)</f>
        <v>#N/A</v>
      </c>
      <c r="T256" s="172" t="e">
        <f>1/(1+(10^-((T255-V255)/400)))*(T206+V206)</f>
        <v>#N/A</v>
      </c>
      <c r="U256" s="172"/>
      <c r="V256" s="172" t="e">
        <f>1/(1+(10^-((V255-T255)/400)))*(T206+V206)</f>
        <v>#N/A</v>
      </c>
      <c r="W256" s="172" t="e">
        <f>1/(1+(10^-((W255-Y255)/400)))*(W206+Y206)</f>
        <v>#N/A</v>
      </c>
      <c r="X256" s="172"/>
      <c r="Y256" s="172" t="e">
        <f>1/(1+(10^-((Y255-W255)/400)))*(W206+Y206)</f>
        <v>#N/A</v>
      </c>
      <c r="Z256" s="172" t="e">
        <f>1/(1+(10^-((Z255-AB255)/400)))*(Z206+AB206)</f>
        <v>#N/A</v>
      </c>
      <c r="AA256" s="172"/>
      <c r="AB256" s="172" t="e">
        <f>1/(1+(10^-((AB255-Z255)/400)))*(Z206+AB206)</f>
        <v>#N/A</v>
      </c>
      <c r="AC256" s="172" t="e">
        <f>1/(1+(10^-((AC255-AE255)/400)))*(AC206+AE206)</f>
        <v>#N/A</v>
      </c>
      <c r="AD256" s="172"/>
      <c r="AE256" s="172" t="e">
        <f>1/(1+(10^-((AE255-AC255)/400)))*(AC206+AE206)</f>
        <v>#N/A</v>
      </c>
      <c r="AF256" s="173"/>
      <c r="AG256" s="174"/>
      <c r="AH256" s="174"/>
      <c r="AI256" s="174"/>
      <c r="AJ256" s="174"/>
      <c r="AK256" s="174"/>
      <c r="AL256" s="174"/>
      <c r="AM256" s="174"/>
      <c r="AN256" s="175"/>
      <c r="AO256" s="175"/>
      <c r="AP256" s="175"/>
      <c r="AQ256" s="175"/>
      <c r="AT256" s="516"/>
      <c r="AU256" s="516"/>
      <c r="AV256" s="516"/>
      <c r="AW256" s="517"/>
      <c r="AX256" s="516"/>
      <c r="AY256" s="516"/>
      <c r="BB256" s="177"/>
    </row>
    <row r="257" spans="1:54" s="182" customFormat="1" hidden="1">
      <c r="A257" s="178" t="s">
        <v>227</v>
      </c>
      <c r="B257" s="178">
        <f>B255+(B206-B256)*$BA$1</f>
        <v>1415.3761966945308</v>
      </c>
      <c r="C257" s="178"/>
      <c r="D257" s="178">
        <f>D255+(D206-D256)*$BA$1</f>
        <v>1184.6238033054692</v>
      </c>
      <c r="E257" s="178">
        <f>E255+(E206-E256)*$BA$1</f>
        <v>1186.0390794838293</v>
      </c>
      <c r="F257" s="178"/>
      <c r="G257" s="178">
        <f>G255+(G206-G256)*$BA$1</f>
        <v>1198.58472382164</v>
      </c>
      <c r="H257" s="178">
        <f>H255+(H206-H256)*$BA$1</f>
        <v>1429.6517072742154</v>
      </c>
      <c r="I257" s="178"/>
      <c r="J257" s="178">
        <f>J255+(J206-J256)*$BA$1</f>
        <v>1184.3092132419554</v>
      </c>
      <c r="K257" s="178" t="e">
        <f>K255+(K206-K256)*$BA$1</f>
        <v>#N/A</v>
      </c>
      <c r="L257" s="178"/>
      <c r="M257" s="178" t="e">
        <f>M255+(M206-M256)*$BA$1</f>
        <v>#N/A</v>
      </c>
      <c r="N257" s="178" t="e">
        <f>N255+(N206-N256)*$BA$1</f>
        <v>#N/A</v>
      </c>
      <c r="O257" s="178"/>
      <c r="P257" s="178" t="e">
        <f>P255+(P206-P256)*$BA$1</f>
        <v>#N/A</v>
      </c>
      <c r="Q257" s="178" t="e">
        <f>Q255+(Q206-Q256)*$BA$1</f>
        <v>#N/A</v>
      </c>
      <c r="R257" s="178"/>
      <c r="S257" s="178" t="e">
        <f>S255+(S206-S256)*$BA$1</f>
        <v>#N/A</v>
      </c>
      <c r="T257" s="178" t="e">
        <f>T255+(T206-T256)*$BA$1</f>
        <v>#N/A</v>
      </c>
      <c r="U257" s="178"/>
      <c r="V257" s="178" t="e">
        <f>V255+(V206-V256)*$BA$1</f>
        <v>#N/A</v>
      </c>
      <c r="W257" s="178" t="e">
        <f>W255+(W206-W256)*$BA$1</f>
        <v>#N/A</v>
      </c>
      <c r="X257" s="178"/>
      <c r="Y257" s="178" t="e">
        <f>Y255+(Y206-Y256)*$BA$1</f>
        <v>#N/A</v>
      </c>
      <c r="Z257" s="178" t="e">
        <f>Z255+(Z206-Z256)*$BA$1</f>
        <v>#N/A</v>
      </c>
      <c r="AA257" s="178"/>
      <c r="AB257" s="178" t="e">
        <f>AB255+(AB206-AB256)*$BA$1</f>
        <v>#N/A</v>
      </c>
      <c r="AC257" s="178" t="e">
        <f>AC255+(AC206-AC256)*$BA$1</f>
        <v>#N/A</v>
      </c>
      <c r="AD257" s="178"/>
      <c r="AE257" s="178" t="e">
        <f>AE255+(AE206-AE256)*$BA$1</f>
        <v>#N/A</v>
      </c>
      <c r="AF257" s="179"/>
      <c r="AG257" s="180"/>
      <c r="AH257" s="180"/>
      <c r="AI257" s="180"/>
      <c r="AJ257" s="180"/>
      <c r="AK257" s="180"/>
      <c r="AL257" s="180"/>
      <c r="AM257" s="180"/>
      <c r="AN257" s="181"/>
      <c r="AO257" s="181"/>
      <c r="AP257" s="181"/>
      <c r="AQ257" s="181"/>
      <c r="AT257" s="518"/>
      <c r="AU257" s="518"/>
      <c r="AV257" s="518"/>
      <c r="AW257" s="519"/>
      <c r="AX257" s="518"/>
      <c r="AY257" s="518"/>
      <c r="BB257" s="183"/>
    </row>
    <row r="258" spans="1:54" s="182" customFormat="1" hidden="1">
      <c r="A258" s="178"/>
      <c r="B258" s="178"/>
      <c r="C258" s="178"/>
      <c r="D258" s="178"/>
      <c r="E258" s="178"/>
      <c r="F258" s="178"/>
      <c r="G258" s="178"/>
      <c r="H258" s="178"/>
      <c r="I258" s="178"/>
      <c r="J258" s="178"/>
      <c r="K258" s="178"/>
      <c r="L258" s="178"/>
      <c r="M258" s="178"/>
      <c r="N258" s="178"/>
      <c r="O258" s="178"/>
      <c r="P258" s="178"/>
      <c r="Q258" s="178"/>
      <c r="R258" s="178"/>
      <c r="S258" s="178"/>
      <c r="T258" s="178"/>
      <c r="U258" s="178"/>
      <c r="V258" s="178"/>
      <c r="W258" s="178"/>
      <c r="X258" s="178"/>
      <c r="Y258" s="178"/>
      <c r="Z258" s="178"/>
      <c r="AA258" s="178"/>
      <c r="AB258" s="178"/>
      <c r="AC258" s="178"/>
      <c r="AD258" s="178"/>
      <c r="AE258" s="178"/>
      <c r="AF258" s="179"/>
      <c r="AG258" s="180"/>
      <c r="AH258" s="180"/>
      <c r="AI258" s="180"/>
      <c r="AJ258" s="180"/>
      <c r="AK258" s="180"/>
      <c r="AL258" s="180"/>
      <c r="AM258" s="180"/>
      <c r="AN258" s="181"/>
      <c r="AO258" s="181"/>
      <c r="AP258" s="181"/>
      <c r="AQ258" s="181"/>
      <c r="AT258" s="518"/>
      <c r="AU258" s="518"/>
      <c r="AV258" s="518"/>
      <c r="AW258" s="519"/>
      <c r="AX258" s="518"/>
      <c r="AY258" s="518"/>
      <c r="BB258" s="183"/>
    </row>
    <row r="259" spans="1:54" s="117" customFormat="1">
      <c r="A259" s="393" t="str">
        <f>IF($AK180=1,"Pool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Tiebreaker : 1) Games Won vs Lost (if 3 way tie then #5)  2) Head to Head  3) Head to Head Net Points  4) Game Win %  5) Total Pool Net Points  6) Flip a Coin</v>
      </c>
      <c r="B259" s="393"/>
      <c r="C259" s="393"/>
      <c r="D259" s="393"/>
      <c r="E259" s="393"/>
      <c r="F259" s="393"/>
      <c r="G259" s="393"/>
      <c r="H259" s="393"/>
      <c r="I259" s="393"/>
      <c r="J259" s="393"/>
      <c r="K259" s="393"/>
      <c r="L259" s="393"/>
      <c r="M259" s="393"/>
      <c r="N259" s="393"/>
      <c r="O259" s="393"/>
      <c r="P259" s="393"/>
      <c r="Q259" s="393"/>
      <c r="R259" s="393"/>
      <c r="S259" s="393"/>
      <c r="T259" s="393"/>
      <c r="U259" s="393"/>
      <c r="V259" s="393"/>
      <c r="W259" s="393"/>
      <c r="X259" s="393"/>
      <c r="Y259" s="393"/>
      <c r="Z259" s="393"/>
      <c r="AA259" s="393"/>
      <c r="AB259" s="393"/>
      <c r="AC259" s="393"/>
      <c r="AD259" s="393"/>
      <c r="AE259" s="393"/>
      <c r="AF259" s="393"/>
      <c r="AG259" s="393"/>
      <c r="AH259" s="393"/>
      <c r="AI259" s="393"/>
      <c r="AJ259" s="393"/>
      <c r="AK259" s="393"/>
      <c r="AL259" s="393"/>
      <c r="AM259" s="394"/>
      <c r="AN259" s="394"/>
      <c r="AO259" s="394"/>
      <c r="AP259" s="394"/>
      <c r="AT259" s="513"/>
      <c r="AU259" s="513"/>
      <c r="AV259" s="513"/>
      <c r="AW259" s="514"/>
      <c r="AX259" s="513"/>
      <c r="AY259" s="513"/>
    </row>
    <row r="260" spans="1:54" s="117" customFormat="1">
      <c r="A260" s="395"/>
      <c r="B260" s="395"/>
      <c r="C260" s="395"/>
      <c r="D260" s="395"/>
      <c r="E260" s="395"/>
      <c r="F260" s="395"/>
      <c r="G260" s="395"/>
      <c r="H260" s="395"/>
      <c r="I260" s="395"/>
      <c r="J260" s="395"/>
      <c r="K260" s="395"/>
      <c r="L260" s="395"/>
      <c r="M260" s="395"/>
      <c r="N260" s="395"/>
      <c r="O260" s="395"/>
      <c r="P260" s="395"/>
      <c r="Q260" s="395"/>
      <c r="R260" s="395"/>
      <c r="S260" s="395"/>
      <c r="T260" s="395"/>
      <c r="U260" s="395"/>
      <c r="V260" s="395"/>
      <c r="W260" s="395"/>
      <c r="X260" s="395"/>
      <c r="Y260" s="395"/>
      <c r="Z260" s="395"/>
      <c r="AA260" s="395"/>
      <c r="AB260" s="395"/>
      <c r="AC260" s="395"/>
      <c r="AD260" s="395"/>
      <c r="AE260" s="395"/>
      <c r="AF260" s="395"/>
      <c r="AG260" s="395"/>
      <c r="AH260" s="395"/>
      <c r="AI260" s="395"/>
      <c r="AJ260" s="395"/>
      <c r="AK260" s="395"/>
      <c r="AL260" s="395"/>
      <c r="AM260" s="395"/>
      <c r="AN260" s="395"/>
      <c r="AO260" s="395"/>
      <c r="AP260" s="395"/>
      <c r="AQ260" s="395"/>
      <c r="AT260" s="513"/>
      <c r="AU260" s="513"/>
      <c r="AV260" s="513"/>
      <c r="AW260" s="514"/>
      <c r="AX260" s="513"/>
      <c r="AY260" s="513"/>
    </row>
    <row r="261" spans="1:54" ht="21" thickBot="1">
      <c r="A261" s="396" t="s">
        <v>230</v>
      </c>
      <c r="B261" s="396"/>
      <c r="C261" s="396"/>
      <c r="D261" s="396"/>
      <c r="E261" s="396"/>
      <c r="F261" s="396"/>
      <c r="G261" s="396"/>
      <c r="H261" s="396"/>
      <c r="I261" s="396"/>
      <c r="J261" s="396"/>
      <c r="K261" s="396"/>
      <c r="L261" s="396"/>
      <c r="M261" s="396"/>
      <c r="N261" s="396"/>
      <c r="O261" s="396"/>
      <c r="P261" s="396"/>
      <c r="Q261" s="396"/>
      <c r="R261" s="396"/>
      <c r="S261" s="396"/>
      <c r="T261" s="396"/>
      <c r="U261" s="396"/>
      <c r="V261" s="396"/>
      <c r="W261" s="396"/>
      <c r="X261" s="396"/>
      <c r="Y261" s="396"/>
      <c r="Z261" s="396"/>
      <c r="AA261" s="396"/>
      <c r="AB261" s="396"/>
      <c r="AC261" s="396"/>
      <c r="AD261" s="396"/>
      <c r="AE261" s="396"/>
      <c r="AF261" s="396"/>
      <c r="AG261" s="396"/>
      <c r="AH261" s="396"/>
      <c r="AI261" s="396"/>
      <c r="AJ261" s="396"/>
      <c r="AK261" s="396"/>
      <c r="AL261" s="396"/>
      <c r="AM261" s="396"/>
      <c r="AN261" s="396"/>
      <c r="AO261" s="396"/>
      <c r="AP261" s="396"/>
      <c r="AQ261" s="396"/>
    </row>
    <row r="262" spans="1:54" ht="13.5" thickBot="1">
      <c r="A262" s="397" t="s">
        <v>231</v>
      </c>
      <c r="B262" s="399" t="s">
        <v>232</v>
      </c>
      <c r="C262" s="400"/>
      <c r="D262" s="400"/>
      <c r="E262" s="400"/>
      <c r="F262" s="400"/>
      <c r="G262" s="400"/>
      <c r="H262" s="400"/>
      <c r="I262" s="400"/>
      <c r="J262" s="400"/>
      <c r="K262" s="400"/>
      <c r="L262" s="401"/>
      <c r="M262" s="399" t="s">
        <v>233</v>
      </c>
      <c r="N262" s="400"/>
      <c r="O262" s="400"/>
      <c r="P262" s="400"/>
      <c r="Q262" s="400"/>
      <c r="R262" s="400"/>
      <c r="S262" s="400"/>
      <c r="T262" s="400"/>
      <c r="U262" s="400"/>
      <c r="V262" s="400"/>
      <c r="W262" s="401"/>
      <c r="X262" s="402" t="s">
        <v>234</v>
      </c>
      <c r="Y262" s="403"/>
      <c r="Z262" s="403"/>
      <c r="AA262" s="403"/>
      <c r="AB262" s="403"/>
      <c r="AC262" s="403"/>
      <c r="AD262" s="403"/>
      <c r="AE262" s="403"/>
      <c r="AF262" s="403"/>
      <c r="AG262" s="404"/>
      <c r="AH262" s="405" t="s">
        <v>235</v>
      </c>
      <c r="AI262" s="406"/>
      <c r="AJ262" s="406"/>
      <c r="AK262" s="406"/>
      <c r="AL262" s="406"/>
      <c r="AM262" s="406"/>
      <c r="AN262" s="406"/>
      <c r="AO262" s="406"/>
      <c r="AP262" s="407"/>
    </row>
    <row r="263" spans="1:54" ht="13.5" thickBot="1">
      <c r="A263" s="398"/>
      <c r="B263" s="408" t="s">
        <v>5</v>
      </c>
      <c r="C263" s="409"/>
      <c r="D263" s="409"/>
      <c r="E263" s="409"/>
      <c r="F263" s="409" t="s">
        <v>236</v>
      </c>
      <c r="G263" s="409"/>
      <c r="H263" s="409"/>
      <c r="I263" s="409"/>
      <c r="J263" s="409" t="s">
        <v>237</v>
      </c>
      <c r="K263" s="409"/>
      <c r="L263" s="185" t="s">
        <v>4</v>
      </c>
      <c r="M263" s="408" t="s">
        <v>5</v>
      </c>
      <c r="N263" s="409"/>
      <c r="O263" s="409"/>
      <c r="P263" s="409"/>
      <c r="Q263" s="409"/>
      <c r="R263" s="409" t="s">
        <v>236</v>
      </c>
      <c r="S263" s="409"/>
      <c r="T263" s="409"/>
      <c r="U263" s="409" t="s">
        <v>237</v>
      </c>
      <c r="V263" s="409"/>
      <c r="W263" s="186" t="s">
        <v>4</v>
      </c>
      <c r="X263" s="408" t="s">
        <v>5</v>
      </c>
      <c r="Y263" s="409"/>
      <c r="Z263" s="409"/>
      <c r="AA263" s="409"/>
      <c r="AB263" s="409"/>
      <c r="AC263" s="409" t="s">
        <v>236</v>
      </c>
      <c r="AD263" s="409"/>
      <c r="AE263" s="409"/>
      <c r="AF263" s="184" t="s">
        <v>237</v>
      </c>
      <c r="AG263" s="186" t="s">
        <v>4</v>
      </c>
      <c r="AH263" s="410" t="s">
        <v>5</v>
      </c>
      <c r="AI263" s="411"/>
      <c r="AJ263" s="411"/>
      <c r="AK263" s="411" t="s">
        <v>236</v>
      </c>
      <c r="AL263" s="411"/>
      <c r="AM263" s="411"/>
      <c r="AN263" s="411" t="s">
        <v>237</v>
      </c>
      <c r="AO263" s="411"/>
      <c r="AP263" s="187" t="s">
        <v>4</v>
      </c>
    </row>
    <row r="264" spans="1:54">
      <c r="A264" s="188" t="s">
        <v>238</v>
      </c>
      <c r="B264" s="412" t="str">
        <f>IF($AF$8=1,$E$8,IF($AF$10=1,$E$10,IF($AF$12=1,$E$12,IF($AF$14=1,$E$14,IF($AF$16=1,$E$16,"1st Place "&amp;$A264)))))</f>
        <v>SC Midlands KP Boys</v>
      </c>
      <c r="C264" s="413"/>
      <c r="D264" s="413"/>
      <c r="E264" s="413"/>
      <c r="F264" s="414" t="str">
        <f>IF($AF$8=1,$E$9,IF($AF$10=1,$E$11,IF($AF$12=1,$E$13,IF($AF$14=1,$E$15,IF($AF$16=1,$E$17,"1st Place "&amp;$A264)))))</f>
        <v>fj2scmid3pm</v>
      </c>
      <c r="G264" s="414"/>
      <c r="H264" s="414"/>
      <c r="I264" s="414"/>
      <c r="J264" s="415">
        <f>IF($AF$8=1,$Z$8,IF($AF$10=1,$Z$10,IF($AF$12=1,$Z$12,IF($AF$14=1,$Z$14,IF($AF$16=1,$Z$16,0)))))</f>
        <v>0.29347826086956524</v>
      </c>
      <c r="K264" s="415"/>
      <c r="L264" s="189">
        <f>IF(AND(J264=0,J265=0,J266=0),0,IF(OR(AND(J264&gt;J265,J264&gt;J266),AND(J264=J265,J264=J266),AND(J264=J265,J264&gt;J266),AND(J264=J266,J264&gt;J265)),1,IF(OR(J264&gt;J265,J264&gt;J266,J264=J265,J264=J266),2,3)))</f>
        <v>3</v>
      </c>
      <c r="M264" s="416" t="str">
        <f>IF($AF$8=2,$E$8,IF($AF$10=2,$E$10,IF($AF$12=2,$E$12,IF($AF$14=2,$E$14,IF($AF$16=2,$E$16,"2nd Place "&amp;$A264)))))</f>
        <v>USA 12 Blue</v>
      </c>
      <c r="N264" s="417"/>
      <c r="O264" s="417"/>
      <c r="P264" s="417"/>
      <c r="Q264" s="417"/>
      <c r="R264" s="418" t="str">
        <f>IF($AF$8=2,$E$9,IF($AF$10=2,$E$11,IF($AF$12=2,$E$13,IF($AF$14=2,$E$15,IF($AF$16=2,$E$17,"2nd Place "&amp;$A264)))))</f>
        <v>fj2unsel1cr</v>
      </c>
      <c r="S264" s="418"/>
      <c r="T264" s="418"/>
      <c r="U264" s="419">
        <f>IF($AF$8=2,$Z$8,IF($AF$10=2,$Z$10,IF($AF$12=2,$Z$12,IF($AF$14=2,$Z$14,IF($AF$16=2,$Z$16,0)))))</f>
        <v>0.13636363636363635</v>
      </c>
      <c r="V264" s="419"/>
      <c r="W264" s="190">
        <f>IF(AND(J264=0,J265=0,J266=0),0,IF(OR(AND(U264&gt;U265,U264&gt;U266),AND(U264=U265,U264=U266),AND(U264=U265,U264&gt;U266),AND(U264=U266,U264&gt;U265)),1,IF(OR(U264&gt;U265,U264&gt;U266,U264=U265,U264=U266),2,3)))</f>
        <v>1</v>
      </c>
      <c r="X264" s="420" t="str">
        <f>IF($AF$8=3,$E$8,IF($AF$10=3,$E$10,IF($AF$12=3,$E$12,IF($AF$14=3,$E$14,IF($AF$16=3,$E$16,"3rd Place "&amp;$A264)))))</f>
        <v>Columbia SC Starlings 12</v>
      </c>
      <c r="Y264" s="421"/>
      <c r="Z264" s="421"/>
      <c r="AA264" s="421"/>
      <c r="AB264" s="421"/>
      <c r="AC264" s="422" t="str">
        <f>IF($AF$8=3,$E$9,IF($AF$10=3,$E$11,IF($AF$12=3,$E$13,IF($AF$14=3,$E$15,IF($AF$16=3,$E$17,"3rd Place "&amp;$A264)))))</f>
        <v>fj2starl1pm</v>
      </c>
      <c r="AD264" s="422"/>
      <c r="AE264" s="422"/>
      <c r="AF264" s="191">
        <f>IF($AF$8=3,$Z$8,IF($AF$10=3,$Z$10,IF($AF$12=3,$Z$12,IF($AF$14=3,$Z$14,IF($AF$16=3,$Z$16,0)))))</f>
        <v>-0.39795918367346939</v>
      </c>
      <c r="AG264" s="192">
        <f>IF(AND(J264=0,J265=0,J266=0),0,IF(OR(AND(AF264&gt;AF265,AF264&gt;AF266),AND(AF264=AF265,AF264=AF266),AND(AF264=AF265,AF264&gt;AF266),AND(AF264=AF266,AF264&gt;AF265)),1,IF(OR(AF264&gt;AF265,AF264&gt;AF266,AF264=AF265,AF264=AF266),2,3)))</f>
        <v>3</v>
      </c>
      <c r="AH264" s="423" t="str">
        <f>IF($AF$8=4,$E$8,IF($AF$10=4,$E$10,IF($AF$12=4,$E$12,IF($AF$14=4,$E$14,IF($AF$16=4,$E$16,"4th Place "&amp;$A264)))))</f>
        <v>4th Place Pool A1</v>
      </c>
      <c r="AI264" s="424"/>
      <c r="AJ264" s="424"/>
      <c r="AK264" s="427" t="str">
        <f>IF($AF$8=4,$E$9,IF($AF$10=4,$E$11,IF($AF$12=4,$E$13,IF($AF$14=4,$E$15,IF($AF$16=4,$E$17,"4th Place "&amp;$A264)))))</f>
        <v>4th Place Pool A1</v>
      </c>
      <c r="AL264" s="427"/>
      <c r="AM264" s="427"/>
      <c r="AN264" s="428">
        <f>IF($AF$8=4,$Z$8,IF($AF$10=4,$Z$10,IF($AF$12=4,$Z$12,IF($AF$14=4,$Z$14,IF($AF$16=4,$Z$16,0)))))</f>
        <v>0</v>
      </c>
      <c r="AO264" s="428"/>
      <c r="AP264" s="193">
        <f>IF(AND(J264=0,J265=0,J266=0),0,IF(OR(AND(AN264&gt;AN265,AN264&gt;AN266),AND(AN264=AN265,AN264=AN266),AND(AN264=AN265,AN264&gt;AN266),AND(AN264=AN266,AN264&gt;AN265)),1,IF(OR(AN264&gt;AN265,AN264&gt;AN266,AN264=AN265,AN264=AN266),2,3)))</f>
        <v>1</v>
      </c>
    </row>
    <row r="265" spans="1:54">
      <c r="A265" s="188" t="s">
        <v>239</v>
      </c>
      <c r="B265" s="429" t="str">
        <f>IF($AF$93=1,$E$93,IF($AF$95=1,$E$95,IF($AF$97=1,$E$97,IF($AF$99=1,$E$99,IF($AF$101=1,$E$101,"1st Place "&amp;$A265)))))</f>
        <v>Magnum 12 Black</v>
      </c>
      <c r="C265" s="430"/>
      <c r="D265" s="430"/>
      <c r="E265" s="430"/>
      <c r="F265" s="431" t="str">
        <f>IF($AF$93=1,$E$94,IF($AF$95=1,$E$96,IF($AF$97=1,$E$98,IF($AF$99=1,$E$100,IF($AF$101=1,$E$102,"1st Place "&amp;$A265)))))</f>
        <v>fj2magnm1pm</v>
      </c>
      <c r="G265" s="431"/>
      <c r="H265" s="431"/>
      <c r="I265" s="431"/>
      <c r="J265" s="432">
        <f>IF($AF$93=1,$Z$93,IF($AF$95=1,$Z$95,IF($AF$97=1,$Z$97,IF($AF$99=1,$Z$99,IF($AF$101=1,$Z$101,0)))))</f>
        <v>0.69148936170212771</v>
      </c>
      <c r="K265" s="432"/>
      <c r="L265" s="194">
        <f>IF(AND(J264=0,J265=0,J266=0),0,IF(OR(AND(J265&gt;J264,J265&gt;J266),AND(J265=J266,J265&gt;J264)),1,IF(OR(J265&gt;J264,J265&gt;J266,AND(J265=J264,J265=J266),J265=J266),2,3)))</f>
        <v>1</v>
      </c>
      <c r="M265" s="433" t="str">
        <f>IF($AF$93=2,$E$93,IF($AF$95=2,$E$95,IF($AF$97=2,$E$97,IF($AF$99=2,$E$99,IF($AF$101=2,$E$101,"2nd Place "&amp;$A265)))))</f>
        <v>SC Midlands KP White</v>
      </c>
      <c r="N265" s="434"/>
      <c r="O265" s="434"/>
      <c r="P265" s="434"/>
      <c r="Q265" s="434"/>
      <c r="R265" s="435" t="str">
        <f>IF($AF$93=2,$E$94,IF($AF$95=2,$E$96,IF($AF$97=2,$E$98,IF($AF$99=2,$E$100,IF($AF$101=2,$E$102,"2nd Place "&amp;$A265)))))</f>
        <v>fj2scmid2pm</v>
      </c>
      <c r="S265" s="435"/>
      <c r="T265" s="435"/>
      <c r="U265" s="436">
        <f>IF($AF$93=2,$Z$93,IF($AF$95=2,$Z$95,IF($AF$97=2,$Z$97,IF($AF$99=2,$Z$99,IF($AF$101=2,$Z$101,0)))))</f>
        <v>-0.38554216867469882</v>
      </c>
      <c r="V265" s="436"/>
      <c r="W265" s="195">
        <f>IF(AND(J264=0,J265=0,J266=0),0,IF(OR(AND(U265&gt;U264,U265&gt;U266),AND(U265=U266,U265&gt;U264)),1,IF(OR(U265&gt;U264,U265&gt;U266,AND(U265=U264,U265=U266),U265=U266),2,3)))</f>
        <v>3</v>
      </c>
      <c r="X265" s="437" t="str">
        <f>IF($AF$93=3,$E$93,IF($AF$95=3,$E$95,IF($AF$97=3,$E$97,IF($AF$99=3,$E$99,IF($AF$101=3,$E$101,"3rd Place "&amp;$A265)))))</f>
        <v>Magnum 12 Red</v>
      </c>
      <c r="Y265" s="438"/>
      <c r="Z265" s="438"/>
      <c r="AA265" s="438"/>
      <c r="AB265" s="438"/>
      <c r="AC265" s="456" t="str">
        <f>IF($AF$93=3,$E$94,IF($AF$95=3,$E$96,IF($AF$97=3,$E$98,IF($AF$99=3,$E$100,IF($AF$101=3,$E$102,"3rd Place "&amp;$A265)))))</f>
        <v>fj2magnm3pm</v>
      </c>
      <c r="AD265" s="456"/>
      <c r="AE265" s="456"/>
      <c r="AF265" s="196">
        <f>IF($AF$93=3,$Z$93,IF($AF$95=3,$Z$95,IF($AF$97=3,$Z$97,IF($AF$99=3,$Z$99,IF($AF$101=3,$Z$101,0)))))</f>
        <v>-0.39759036144578314</v>
      </c>
      <c r="AG265" s="197">
        <f>IF(AND(J264=0,J265=0,J266=0),0,IF(OR(AND(AF265&gt;AF264,AF265&gt;AF266),AND(AF265=AF266,AF265&gt;AF264)),1,IF(OR(AF265&gt;AF264,AF265&gt;AF266,AND(AF265=AF264,AF265=AF266),AF265=AF266),2,3)))</f>
        <v>2</v>
      </c>
      <c r="AH265" s="452" t="str">
        <f>IF($AF$93=4,$E$93,IF($AF$95=4,$E$95,IF($AF$97=4,$E$97,IF($AF$99=4,$E$99,IF($AF$101=4,$E$101,"4th Place "&amp;$A265)))))</f>
        <v>4th Place Pool B1</v>
      </c>
      <c r="AI265" s="453"/>
      <c r="AJ265" s="453"/>
      <c r="AK265" s="454" t="str">
        <f>IF($AF$93=4,$E$94,IF($AF$95=4,$E$96,IF($AF$97=4,$E$98,IF($AF$99=4,$E$100,IF($AF$101=4,$E$102,"4th Place "&amp;$A265)))))</f>
        <v>4th Place Pool B1</v>
      </c>
      <c r="AL265" s="454"/>
      <c r="AM265" s="454"/>
      <c r="AN265" s="455">
        <f>IF($AF$93=4,$Z$93,IF($AF$95=4,$Z$95,IF($AF$97=4,$Z$97,IF($AF$99=4,$Z$99,IF($AF$101=4,$Z$101,0)))))</f>
        <v>0</v>
      </c>
      <c r="AO265" s="455"/>
      <c r="AP265" s="198">
        <f>IF(AND(J264=0,J265=0,J266=0),0,IF(OR(AND(AN265&gt;AN264,AN265&gt;AN266),AND(AN265=AN266,AN265&gt;AN264)),1,IF(OR(AN265&gt;AN264,AN265&gt;AN266,AND(AN265=AN264,AN265=AN266),AN265=AN266),2,3)))</f>
        <v>2</v>
      </c>
    </row>
    <row r="266" spans="1:54" ht="13.5" thickBot="1">
      <c r="A266" s="199" t="s">
        <v>240</v>
      </c>
      <c r="B266" s="439" t="str">
        <f>IF($AF$178=1,$E$178,IF($AF$180=1,$E$180,IF($AF$182=1,$E$182,IF($AF$184=1,$E$184,IF($AF$186=1,$E$186,"1st Place "&amp;$A266)))))</f>
        <v>Magnum Aiken 12 Green</v>
      </c>
      <c r="C266" s="440"/>
      <c r="D266" s="440"/>
      <c r="E266" s="440"/>
      <c r="F266" s="441" t="str">
        <f>IF($AF$178=1,$E$179,IF($AF$180=1,$E$181,IF($AF$182=1,$E$183,IF($AF$184=1,$E$185,IF($AF$186=1,$E$187,"1st Place "&amp;$A266)))))</f>
        <v>fj2magnm2pm</v>
      </c>
      <c r="G266" s="441"/>
      <c r="H266" s="441"/>
      <c r="I266" s="441"/>
      <c r="J266" s="442">
        <f>IF($AF$178=1,$Z$178,IF($AF$180=1,$Z$180,IF($AF$182=1,$Z$182,IF($AF$184=1,$Z$184,IF($AF$186=1,$Z$186,0)))))</f>
        <v>0.33766233766233766</v>
      </c>
      <c r="K266" s="442"/>
      <c r="L266" s="200">
        <f>IF(AND(J264=0,J265=0,J266=0),0,IF(AND(J266&gt;J264,J266&gt;J265),1,IF(OR(J266&gt;J264,J266&gt;J265),2,3)))</f>
        <v>2</v>
      </c>
      <c r="M266" s="443" t="str">
        <f>IF($AF$178=2,$E$178,IF($AF$180=2,$E$180,IF($AF$182=2,$E$182,IF($AF$184=2,$E$184,IF($AF$186=2,$E$186,"2nd Place "&amp;$A266)))))</f>
        <v>Excell U12 Devel</v>
      </c>
      <c r="N266" s="444"/>
      <c r="O266" s="444"/>
      <c r="P266" s="444"/>
      <c r="Q266" s="444"/>
      <c r="R266" s="445" t="str">
        <f>IF($AF$178=2,$E$179,IF($AF$180=2,$E$181,IF($AF$182=2,$E$183,IF($AF$184=2,$E$185,IF($AF$186=2,$E$187,"2nd Place "&amp;$A266)))))</f>
        <v>fj2191642pm</v>
      </c>
      <c r="S266" s="445"/>
      <c r="T266" s="445"/>
      <c r="U266" s="446">
        <f>IF($AF$178=2,$Z$178,IF($AF$180=2,$Z$180,IF($AF$182=2,$Z$182,IF($AF$184=2,$Z$184,IF($AF$186=2,$Z$186,0)))))</f>
        <v>-0.20512820512820512</v>
      </c>
      <c r="V266" s="446"/>
      <c r="W266" s="201">
        <f>IF(AND(J264=0,J265=0,J266=0),0,IF(AND(U266&gt;U264,U266&gt;U265),1,IF(OR(U266&gt;U264,U266&gt;U265),2,3)))</f>
        <v>2</v>
      </c>
      <c r="X266" s="425" t="str">
        <f>IF($AF$178=3,$E$178,IF($AF$180=3,$E$180,IF($AF$182=3,$E$182,IF($AF$184=3,$E$184,IF($AF$186=3,$E$186,"3rd Place "&amp;$A266)))))</f>
        <v>Intense Kids power Gvl</v>
      </c>
      <c r="Y266" s="426"/>
      <c r="Z266" s="426"/>
      <c r="AA266" s="426"/>
      <c r="AB266" s="426"/>
      <c r="AC266" s="447" t="str">
        <f>IF($AF$178=3,$E$179,IF($AF$180=3,$E$181,IF($AF$182=3,$E$183,IF($AF$184=3,$E$185,IF($AF$186=3,$E$187,"3rd Place "&amp;$A266)))))</f>
        <v>fj2inten2pm</v>
      </c>
      <c r="AD266" s="447"/>
      <c r="AE266" s="447"/>
      <c r="AF266" s="202">
        <f>IF($AF$178=3,$Z$178,IF($AF$180=3,$Z$180,IF($AF$182=3,$Z$182,IF($AF$184=3,$Z$184,IF($AF$186=3,$Z$186,0)))))</f>
        <v>-0.13333333333333333</v>
      </c>
      <c r="AG266" s="203">
        <f>IF(AND(J264=0,J265=0,J266=0),0,IF(AND(AF266&gt;AF264,AF266&gt;AF265),1,IF(OR(AF266&gt;AF264,AF266&gt;AF265),2,3)))</f>
        <v>1</v>
      </c>
      <c r="AH266" s="448" t="str">
        <f>IF($AF$178=4,$E$178,IF($AF$180=4,$E$180,IF($AF$182=4,$E$182,IF($AF$184=4,$E$184,IF($AF$186=4,$E$186,"4th Place "&amp;$A266)))))</f>
        <v>4th Place Pool C1</v>
      </c>
      <c r="AI266" s="449"/>
      <c r="AJ266" s="449"/>
      <c r="AK266" s="450" t="str">
        <f>IF($AF$178=4,$E$179,IF($AF$180=4,$E$181,IF($AF$182=4,$E$183,IF($AF$184=4,$E$185,IF($AF$186=4,$E$187,"4th Place "&amp;$A266)))))</f>
        <v>4th Place Pool C1</v>
      </c>
      <c r="AL266" s="450"/>
      <c r="AM266" s="450"/>
      <c r="AN266" s="451">
        <f>IF($AF$178=4,$Z$178,IF($AF$180=4,$Z$180,IF($AF$182=4,$Z$182,IF($AF$184=4,$Z$184,IF($AF$186=4,$Z$186,0)))))</f>
        <v>0</v>
      </c>
      <c r="AO266" s="451"/>
      <c r="AP266" s="204">
        <f>IF(AND(J264=0,J265=0,J266=0),0,IF(AND(AN266&gt;AN264,AN266&gt;AN265),1,IF(OR(AN266&gt;AN264,AN266&gt;AN265),2,3)))</f>
        <v>3</v>
      </c>
    </row>
    <row r="267" spans="1:54" s="46" customFormat="1">
      <c r="A267" s="105"/>
      <c r="B267" s="205"/>
      <c r="C267" s="205"/>
      <c r="D267" s="205"/>
      <c r="E267" s="205"/>
      <c r="F267" s="205"/>
      <c r="G267" s="205"/>
      <c r="H267" s="205"/>
      <c r="I267" s="205"/>
      <c r="J267" s="205"/>
      <c r="K267" s="205"/>
      <c r="L267" s="205"/>
      <c r="M267" s="206"/>
      <c r="N267" s="206"/>
      <c r="O267" s="206"/>
      <c r="P267" s="206"/>
      <c r="Q267" s="206"/>
      <c r="R267" s="206"/>
      <c r="S267" s="206"/>
      <c r="T267" s="206"/>
      <c r="U267" s="206"/>
      <c r="V267" s="206"/>
      <c r="W267" s="206"/>
      <c r="AT267" s="508"/>
      <c r="AU267" s="508"/>
      <c r="AV267" s="508"/>
      <c r="AW267" s="512"/>
      <c r="AX267" s="508"/>
      <c r="AY267" s="508"/>
      <c r="AZ267" s="3"/>
      <c r="BA267" s="3"/>
    </row>
    <row r="268" spans="1:54">
      <c r="AW268" s="514"/>
      <c r="AX268" s="513"/>
      <c r="AY268" s="513"/>
      <c r="AZ268" s="115"/>
      <c r="BA268" s="115"/>
    </row>
    <row r="269" spans="1:54">
      <c r="AW269" s="514"/>
      <c r="AX269" s="513"/>
      <c r="AY269" s="513"/>
      <c r="AZ269" s="115"/>
      <c r="BA269" s="115"/>
    </row>
    <row r="270" spans="1:54">
      <c r="AW270" s="514"/>
      <c r="AX270" s="513"/>
      <c r="AY270" s="513"/>
      <c r="AZ270" s="115"/>
      <c r="BA270" s="115"/>
    </row>
    <row r="271" spans="1:54">
      <c r="AW271" s="514"/>
      <c r="AX271" s="513"/>
      <c r="AY271" s="513"/>
      <c r="AZ271" s="115"/>
      <c r="BA271" s="115"/>
    </row>
    <row r="272" spans="1:54">
      <c r="AW272" s="514"/>
      <c r="AX272" s="513"/>
      <c r="AY272" s="513"/>
      <c r="AZ272" s="115"/>
      <c r="BA272" s="115"/>
    </row>
    <row r="273" spans="45:53">
      <c r="AW273" s="514"/>
      <c r="AX273" s="513"/>
      <c r="AY273" s="513"/>
      <c r="AZ273" s="115"/>
      <c r="BA273" s="115"/>
    </row>
    <row r="274" spans="45:53">
      <c r="AW274" s="514"/>
      <c r="AX274" s="513"/>
      <c r="AY274" s="513"/>
      <c r="AZ274" s="115"/>
      <c r="BA274" s="115"/>
    </row>
    <row r="275" spans="45:53">
      <c r="AW275" s="514"/>
      <c r="AX275" s="513"/>
      <c r="AY275" s="513"/>
      <c r="AZ275" s="115"/>
      <c r="BA275" s="115"/>
    </row>
    <row r="276" spans="45:53">
      <c r="AS276" s="120"/>
      <c r="AT276" s="520"/>
      <c r="AU276" s="520"/>
      <c r="AW276" s="514"/>
      <c r="AX276" s="513"/>
      <c r="AY276" s="513"/>
      <c r="AZ276" s="115"/>
      <c r="BA276" s="115"/>
    </row>
    <row r="277" spans="45:53">
      <c r="AW277" s="514"/>
      <c r="AX277" s="513"/>
      <c r="AY277" s="513"/>
      <c r="AZ277" s="115"/>
      <c r="BA277" s="115"/>
    </row>
    <row r="279" spans="45:53">
      <c r="AW279" s="514"/>
      <c r="AX279" s="513"/>
      <c r="AY279" s="513"/>
      <c r="AZ279" s="117"/>
      <c r="BA279" s="117"/>
    </row>
    <row r="280" spans="45:53">
      <c r="AW280" s="514"/>
      <c r="AX280" s="513"/>
      <c r="AY280" s="513"/>
      <c r="AZ280" s="117"/>
      <c r="BA280" s="117"/>
    </row>
    <row r="281" spans="45:53">
      <c r="AW281" s="514"/>
      <c r="AX281" s="513"/>
      <c r="AY281" s="513"/>
      <c r="AZ281" s="117"/>
      <c r="BA281" s="117"/>
    </row>
    <row r="282" spans="45:53">
      <c r="AW282" s="514"/>
      <c r="AX282" s="513"/>
      <c r="AY282" s="513"/>
      <c r="AZ282" s="117"/>
      <c r="BA282" s="117"/>
    </row>
    <row r="283" spans="45:53">
      <c r="AW283" s="514"/>
      <c r="AX283" s="513"/>
      <c r="AY283" s="513"/>
      <c r="AZ283" s="117"/>
      <c r="BA283" s="117"/>
    </row>
    <row r="284" spans="45:53">
      <c r="AW284" s="514"/>
      <c r="AX284" s="513"/>
      <c r="AY284" s="513"/>
      <c r="AZ284" s="117"/>
      <c r="BA284" s="117"/>
    </row>
    <row r="285" spans="45:53">
      <c r="AW285" s="514"/>
      <c r="AX285" s="513"/>
      <c r="AY285" s="513"/>
      <c r="AZ285" s="117"/>
      <c r="BA285" s="117"/>
    </row>
    <row r="286" spans="45:53">
      <c r="AW286" s="514"/>
      <c r="AX286" s="513"/>
      <c r="AY286" s="513"/>
      <c r="AZ286" s="117"/>
      <c r="BA286" s="117"/>
    </row>
    <row r="287" spans="45:53">
      <c r="AW287" s="517"/>
      <c r="AX287" s="516"/>
      <c r="AY287" s="516"/>
      <c r="AZ287" s="176"/>
      <c r="BA287" s="176"/>
    </row>
    <row r="288" spans="45:53">
      <c r="AW288" s="519"/>
      <c r="AX288" s="518"/>
      <c r="AY288" s="518"/>
      <c r="AZ288" s="182"/>
      <c r="BA288" s="182"/>
    </row>
    <row r="289" spans="49:53">
      <c r="AW289" s="519"/>
      <c r="AX289" s="518"/>
      <c r="AY289" s="518"/>
      <c r="AZ289" s="182"/>
      <c r="BA289" s="182"/>
    </row>
    <row r="290" spans="49:53">
      <c r="AW290" s="514"/>
      <c r="AX290" s="513"/>
      <c r="AY290" s="513"/>
      <c r="AZ290" s="117"/>
      <c r="BA290" s="117"/>
    </row>
    <row r="291" spans="49:53">
      <c r="AW291" s="514"/>
      <c r="AX291" s="513"/>
      <c r="AY291" s="513"/>
      <c r="AZ291" s="117"/>
      <c r="BA291" s="117"/>
    </row>
    <row r="349" spans="49:49">
      <c r="AW349" s="508"/>
    </row>
    <row r="350" spans="49:49">
      <c r="AW350" s="508"/>
    </row>
    <row r="351" spans="49:49">
      <c r="AW351" s="508"/>
    </row>
    <row r="352" spans="49:49">
      <c r="AW352" s="508"/>
    </row>
    <row r="353" spans="49:49">
      <c r="AW353" s="508"/>
    </row>
    <row r="354" spans="49:49">
      <c r="AW354" s="508"/>
    </row>
    <row r="355" spans="49:49">
      <c r="AW355" s="508"/>
    </row>
    <row r="356" spans="49:49">
      <c r="AW356" s="508"/>
    </row>
    <row r="357" spans="49:49">
      <c r="AW357" s="508"/>
    </row>
    <row r="403" spans="49:49">
      <c r="AW403" s="508"/>
    </row>
    <row r="404" spans="49:49">
      <c r="AW404" s="508"/>
    </row>
    <row r="405" spans="49:49">
      <c r="AW405" s="508"/>
    </row>
    <row r="406" spans="49:49">
      <c r="AW406" s="508"/>
    </row>
    <row r="407" spans="49:49">
      <c r="AW407" s="508"/>
    </row>
    <row r="408" spans="49:49">
      <c r="AW408" s="508"/>
    </row>
    <row r="409" spans="49:49">
      <c r="AW409" s="508"/>
    </row>
    <row r="410" spans="49:49">
      <c r="AW410" s="508"/>
    </row>
    <row r="411" spans="49:49">
      <c r="AW411" s="508"/>
    </row>
    <row r="457" spans="49:49">
      <c r="AW457" s="508"/>
    </row>
    <row r="458" spans="49:49">
      <c r="AW458" s="508"/>
    </row>
    <row r="459" spans="49:49">
      <c r="AW459" s="508"/>
    </row>
    <row r="460" spans="49:49">
      <c r="AW460" s="508"/>
    </row>
    <row r="461" spans="49:49">
      <c r="AW461" s="508"/>
    </row>
    <row r="462" spans="49:49">
      <c r="AW462" s="508"/>
    </row>
    <row r="463" spans="49:49">
      <c r="AW463" s="508"/>
    </row>
    <row r="464" spans="49:49">
      <c r="AW464" s="508"/>
    </row>
    <row r="465" spans="49:49">
      <c r="AW465" s="508"/>
    </row>
    <row r="511" spans="49:49">
      <c r="AW511" s="508"/>
    </row>
    <row r="512" spans="49:49">
      <c r="AW512" s="508"/>
    </row>
    <row r="513" spans="49:49">
      <c r="AW513" s="508"/>
    </row>
    <row r="514" spans="49:49">
      <c r="AW514" s="508"/>
    </row>
    <row r="515" spans="49:49">
      <c r="AW515" s="508"/>
    </row>
    <row r="516" spans="49:49">
      <c r="AW516" s="508"/>
    </row>
    <row r="517" spans="49:49">
      <c r="AW517" s="508"/>
    </row>
    <row r="518" spans="49:49">
      <c r="AW518" s="508"/>
    </row>
    <row r="519" spans="49:49">
      <c r="AW519" s="508"/>
    </row>
  </sheetData>
  <sheetProtection formatCells="0" selectLockedCells="1"/>
  <mergeCells count="466">
    <mergeCell ref="X266:AB266"/>
    <mergeCell ref="AK264:AM264"/>
    <mergeCell ref="AN264:AO264"/>
    <mergeCell ref="B265:E265"/>
    <mergeCell ref="F265:I265"/>
    <mergeCell ref="J265:K265"/>
    <mergeCell ref="M265:Q265"/>
    <mergeCell ref="R265:T265"/>
    <mergeCell ref="U265:V265"/>
    <mergeCell ref="X265:AB265"/>
    <mergeCell ref="B266:E266"/>
    <mergeCell ref="F266:I266"/>
    <mergeCell ref="J266:K266"/>
    <mergeCell ref="M266:Q266"/>
    <mergeCell ref="R266:T266"/>
    <mergeCell ref="U266:V266"/>
    <mergeCell ref="AC266:AE266"/>
    <mergeCell ref="AH266:AJ266"/>
    <mergeCell ref="AK266:AM266"/>
    <mergeCell ref="AN266:AO266"/>
    <mergeCell ref="AH265:AJ265"/>
    <mergeCell ref="AK265:AM265"/>
    <mergeCell ref="AN265:AO265"/>
    <mergeCell ref="AC265:AE265"/>
    <mergeCell ref="B264:E264"/>
    <mergeCell ref="F264:I264"/>
    <mergeCell ref="J264:K264"/>
    <mergeCell ref="M264:Q264"/>
    <mergeCell ref="R264:T264"/>
    <mergeCell ref="U264:V264"/>
    <mergeCell ref="X264:AB264"/>
    <mergeCell ref="AC264:AE264"/>
    <mergeCell ref="AH264:AJ264"/>
    <mergeCell ref="AG227:AK227"/>
    <mergeCell ref="A259:AL259"/>
    <mergeCell ref="AM259:AP259"/>
    <mergeCell ref="A260:AQ260"/>
    <mergeCell ref="A261:AQ261"/>
    <mergeCell ref="A262:A263"/>
    <mergeCell ref="B262:L262"/>
    <mergeCell ref="M262:W262"/>
    <mergeCell ref="X262:AG262"/>
    <mergeCell ref="AH262:AP262"/>
    <mergeCell ref="B263:E263"/>
    <mergeCell ref="F263:I263"/>
    <mergeCell ref="J263:K263"/>
    <mergeCell ref="M263:Q263"/>
    <mergeCell ref="R263:T263"/>
    <mergeCell ref="U263:V263"/>
    <mergeCell ref="X263:AB263"/>
    <mergeCell ref="AC263:AE263"/>
    <mergeCell ref="AH263:AJ263"/>
    <mergeCell ref="AK263:AM263"/>
    <mergeCell ref="AN263:AO263"/>
    <mergeCell ref="AC192:AE192"/>
    <mergeCell ref="B193:D193"/>
    <mergeCell ref="E193:G193"/>
    <mergeCell ref="H193:J193"/>
    <mergeCell ref="K193:M193"/>
    <mergeCell ref="N193:P193"/>
    <mergeCell ref="Q193:S193"/>
    <mergeCell ref="T193:V193"/>
    <mergeCell ref="W193:Y193"/>
    <mergeCell ref="Z193:AB193"/>
    <mergeCell ref="AC193:AE193"/>
    <mergeCell ref="B192:D192"/>
    <mergeCell ref="E192:G192"/>
    <mergeCell ref="H192:J192"/>
    <mergeCell ref="K192:M192"/>
    <mergeCell ref="N192:P192"/>
    <mergeCell ref="Q192:S192"/>
    <mergeCell ref="T192:V192"/>
    <mergeCell ref="W192:Y192"/>
    <mergeCell ref="Z192:AB192"/>
    <mergeCell ref="Z190:AB190"/>
    <mergeCell ref="AC190:AE190"/>
    <mergeCell ref="B191:D191"/>
    <mergeCell ref="E191:G191"/>
    <mergeCell ref="H191:J191"/>
    <mergeCell ref="K191:M191"/>
    <mergeCell ref="N191:P191"/>
    <mergeCell ref="Q191:S191"/>
    <mergeCell ref="T191:V191"/>
    <mergeCell ref="W191:Y191"/>
    <mergeCell ref="Z191:AB191"/>
    <mergeCell ref="AC191:AE191"/>
    <mergeCell ref="AG186:AG187"/>
    <mergeCell ref="AH186:AI187"/>
    <mergeCell ref="B187:D187"/>
    <mergeCell ref="E187:K187"/>
    <mergeCell ref="B188:AI188"/>
    <mergeCell ref="B189:D189"/>
    <mergeCell ref="E189:G189"/>
    <mergeCell ref="H189:J189"/>
    <mergeCell ref="K189:M189"/>
    <mergeCell ref="N189:P189"/>
    <mergeCell ref="Q189:S189"/>
    <mergeCell ref="T189:V189"/>
    <mergeCell ref="W189:Y189"/>
    <mergeCell ref="Z189:AB189"/>
    <mergeCell ref="AC189:AE189"/>
    <mergeCell ref="AF189:AQ192"/>
    <mergeCell ref="B190:D190"/>
    <mergeCell ref="E190:G190"/>
    <mergeCell ref="H190:J190"/>
    <mergeCell ref="K190:M190"/>
    <mergeCell ref="N190:P190"/>
    <mergeCell ref="Q190:S190"/>
    <mergeCell ref="T190:V190"/>
    <mergeCell ref="W190:Y190"/>
    <mergeCell ref="A186:A187"/>
    <mergeCell ref="B186:D186"/>
    <mergeCell ref="E186:K186"/>
    <mergeCell ref="L186:P187"/>
    <mergeCell ref="R186:V187"/>
    <mergeCell ref="W186:Y187"/>
    <mergeCell ref="Z186:AB187"/>
    <mergeCell ref="AC186:AE187"/>
    <mergeCell ref="AF186:AF187"/>
    <mergeCell ref="AG182:AG183"/>
    <mergeCell ref="AH182:AI183"/>
    <mergeCell ref="B183:D183"/>
    <mergeCell ref="E183:K183"/>
    <mergeCell ref="A184:A185"/>
    <mergeCell ref="B184:D184"/>
    <mergeCell ref="E184:K184"/>
    <mergeCell ref="L184:P185"/>
    <mergeCell ref="R184:V185"/>
    <mergeCell ref="W184:Y185"/>
    <mergeCell ref="Z184:AB185"/>
    <mergeCell ref="AC184:AE185"/>
    <mergeCell ref="AF184:AF185"/>
    <mergeCell ref="AG184:AG185"/>
    <mergeCell ref="AH184:AI185"/>
    <mergeCell ref="B185:D185"/>
    <mergeCell ref="E185:K185"/>
    <mergeCell ref="A182:A183"/>
    <mergeCell ref="B182:D182"/>
    <mergeCell ref="E182:K182"/>
    <mergeCell ref="L182:P183"/>
    <mergeCell ref="R182:V183"/>
    <mergeCell ref="W182:Y183"/>
    <mergeCell ref="Z182:AB183"/>
    <mergeCell ref="AC182:AE183"/>
    <mergeCell ref="AF182:AF183"/>
    <mergeCell ref="AG178:AG179"/>
    <mergeCell ref="AH178:AI179"/>
    <mergeCell ref="B179:D179"/>
    <mergeCell ref="E179:K179"/>
    <mergeCell ref="A180:A181"/>
    <mergeCell ref="B180:D180"/>
    <mergeCell ref="E180:K180"/>
    <mergeCell ref="L180:P181"/>
    <mergeCell ref="R180:V181"/>
    <mergeCell ref="W180:Y181"/>
    <mergeCell ref="Z180:AB181"/>
    <mergeCell ref="AC180:AE181"/>
    <mergeCell ref="AF180:AF181"/>
    <mergeCell ref="AG180:AG181"/>
    <mergeCell ref="AH180:AI181"/>
    <mergeCell ref="B181:D181"/>
    <mergeCell ref="E181:K181"/>
    <mergeCell ref="AG142:AK142"/>
    <mergeCell ref="A174:AL174"/>
    <mergeCell ref="AM174:AP174"/>
    <mergeCell ref="A175:AQ175"/>
    <mergeCell ref="C176:H176"/>
    <mergeCell ref="I176:J176"/>
    <mergeCell ref="K176:AI176"/>
    <mergeCell ref="B177:K177"/>
    <mergeCell ref="L177:P177"/>
    <mergeCell ref="Q177:Q187"/>
    <mergeCell ref="R177:V177"/>
    <mergeCell ref="W177:Y177"/>
    <mergeCell ref="Z177:AB177"/>
    <mergeCell ref="AC177:AE177"/>
    <mergeCell ref="AH177:AI177"/>
    <mergeCell ref="A178:A179"/>
    <mergeCell ref="B178:D178"/>
    <mergeCell ref="E178:K178"/>
    <mergeCell ref="L178:P179"/>
    <mergeCell ref="R178:V179"/>
    <mergeCell ref="W178:Y179"/>
    <mergeCell ref="Z178:AB179"/>
    <mergeCell ref="AC178:AE179"/>
    <mergeCell ref="AF178:AF179"/>
    <mergeCell ref="AC107:AE107"/>
    <mergeCell ref="B108:D108"/>
    <mergeCell ref="E108:G108"/>
    <mergeCell ref="H108:J108"/>
    <mergeCell ref="K108:M108"/>
    <mergeCell ref="N108:P108"/>
    <mergeCell ref="Q108:S108"/>
    <mergeCell ref="T108:V108"/>
    <mergeCell ref="W108:Y108"/>
    <mergeCell ref="Z108:AB108"/>
    <mergeCell ref="AC108:AE108"/>
    <mergeCell ref="B107:D107"/>
    <mergeCell ref="E107:G107"/>
    <mergeCell ref="H107:J107"/>
    <mergeCell ref="K107:M107"/>
    <mergeCell ref="N107:P107"/>
    <mergeCell ref="Q107:S107"/>
    <mergeCell ref="T107:V107"/>
    <mergeCell ref="W107:Y107"/>
    <mergeCell ref="Z107:AB107"/>
    <mergeCell ref="Z105:AB105"/>
    <mergeCell ref="AC105:AE105"/>
    <mergeCell ref="B106:D106"/>
    <mergeCell ref="E106:G106"/>
    <mergeCell ref="H106:J106"/>
    <mergeCell ref="K106:M106"/>
    <mergeCell ref="N106:P106"/>
    <mergeCell ref="Q106:S106"/>
    <mergeCell ref="T106:V106"/>
    <mergeCell ref="W106:Y106"/>
    <mergeCell ref="Z106:AB106"/>
    <mergeCell ref="AC106:AE106"/>
    <mergeCell ref="AG101:AG102"/>
    <mergeCell ref="AH101:AI102"/>
    <mergeCell ref="B102:D102"/>
    <mergeCell ref="E102:K102"/>
    <mergeCell ref="B103:AI103"/>
    <mergeCell ref="B104:D104"/>
    <mergeCell ref="E104:G104"/>
    <mergeCell ref="H104:J104"/>
    <mergeCell ref="K104:M104"/>
    <mergeCell ref="N104:P104"/>
    <mergeCell ref="Q104:S104"/>
    <mergeCell ref="T104:V104"/>
    <mergeCell ref="W104:Y104"/>
    <mergeCell ref="Z104:AB104"/>
    <mergeCell ref="AC104:AE104"/>
    <mergeCell ref="AF104:AQ107"/>
    <mergeCell ref="B105:D105"/>
    <mergeCell ref="E105:G105"/>
    <mergeCell ref="H105:J105"/>
    <mergeCell ref="K105:M105"/>
    <mergeCell ref="N105:P105"/>
    <mergeCell ref="Q105:S105"/>
    <mergeCell ref="T105:V105"/>
    <mergeCell ref="W105:Y105"/>
    <mergeCell ref="A101:A102"/>
    <mergeCell ref="B101:D101"/>
    <mergeCell ref="E101:K101"/>
    <mergeCell ref="L101:P102"/>
    <mergeCell ref="R101:V102"/>
    <mergeCell ref="W101:Y102"/>
    <mergeCell ref="Z101:AB102"/>
    <mergeCell ref="AC101:AE102"/>
    <mergeCell ref="AF101:AF102"/>
    <mergeCell ref="AG97:AG98"/>
    <mergeCell ref="AH97:AI98"/>
    <mergeCell ref="B98:D98"/>
    <mergeCell ref="E98:K98"/>
    <mergeCell ref="A99:A100"/>
    <mergeCell ref="B99:D99"/>
    <mergeCell ref="E99:K99"/>
    <mergeCell ref="L99:P100"/>
    <mergeCell ref="R99:V100"/>
    <mergeCell ref="W99:Y100"/>
    <mergeCell ref="Z99:AB100"/>
    <mergeCell ref="AC99:AE100"/>
    <mergeCell ref="AF99:AF100"/>
    <mergeCell ref="AG99:AG100"/>
    <mergeCell ref="AH99:AI100"/>
    <mergeCell ref="B100:D100"/>
    <mergeCell ref="E100:K100"/>
    <mergeCell ref="A97:A98"/>
    <mergeCell ref="B97:D97"/>
    <mergeCell ref="E97:K97"/>
    <mergeCell ref="L97:P98"/>
    <mergeCell ref="R97:V98"/>
    <mergeCell ref="W97:Y98"/>
    <mergeCell ref="Z97:AB98"/>
    <mergeCell ref="AC97:AE98"/>
    <mergeCell ref="AF97:AF98"/>
    <mergeCell ref="AG93:AG94"/>
    <mergeCell ref="AH93:AI94"/>
    <mergeCell ref="B94:D94"/>
    <mergeCell ref="E94:K94"/>
    <mergeCell ref="A95:A96"/>
    <mergeCell ref="B95:D95"/>
    <mergeCell ref="E95:K95"/>
    <mergeCell ref="L95:P96"/>
    <mergeCell ref="R95:V96"/>
    <mergeCell ref="W95:Y96"/>
    <mergeCell ref="Z95:AB96"/>
    <mergeCell ref="AC95:AE96"/>
    <mergeCell ref="AF95:AF96"/>
    <mergeCell ref="AG95:AG96"/>
    <mergeCell ref="AH95:AI96"/>
    <mergeCell ref="B96:D96"/>
    <mergeCell ref="E96:K96"/>
    <mergeCell ref="AG57:AK57"/>
    <mergeCell ref="A89:AL89"/>
    <mergeCell ref="AM89:AP89"/>
    <mergeCell ref="A90:AQ90"/>
    <mergeCell ref="C91:H91"/>
    <mergeCell ref="I91:J91"/>
    <mergeCell ref="K91:AI91"/>
    <mergeCell ref="B92:K92"/>
    <mergeCell ref="L92:P92"/>
    <mergeCell ref="Q92:Q102"/>
    <mergeCell ref="R92:V92"/>
    <mergeCell ref="W92:Y92"/>
    <mergeCell ref="Z92:AB92"/>
    <mergeCell ref="AC92:AE92"/>
    <mergeCell ref="AH92:AI92"/>
    <mergeCell ref="A93:A94"/>
    <mergeCell ref="B93:D93"/>
    <mergeCell ref="E93:K93"/>
    <mergeCell ref="L93:P94"/>
    <mergeCell ref="R93:V94"/>
    <mergeCell ref="W93:Y94"/>
    <mergeCell ref="Z93:AB94"/>
    <mergeCell ref="AC93:AE94"/>
    <mergeCell ref="AF93:AF94"/>
    <mergeCell ref="AC22:AE22"/>
    <mergeCell ref="B23:D23"/>
    <mergeCell ref="E23:G23"/>
    <mergeCell ref="H23:J23"/>
    <mergeCell ref="K23:M23"/>
    <mergeCell ref="N23:P23"/>
    <mergeCell ref="Q23:S23"/>
    <mergeCell ref="T23:V23"/>
    <mergeCell ref="W23:Y23"/>
    <mergeCell ref="Z23:AB23"/>
    <mergeCell ref="AC23:AE23"/>
    <mergeCell ref="B22:D22"/>
    <mergeCell ref="E22:G22"/>
    <mergeCell ref="H22:J22"/>
    <mergeCell ref="K22:M22"/>
    <mergeCell ref="N22:P22"/>
    <mergeCell ref="Q22:S22"/>
    <mergeCell ref="T22:V22"/>
    <mergeCell ref="W22:Y22"/>
    <mergeCell ref="Z22:AB22"/>
    <mergeCell ref="W20:Y20"/>
    <mergeCell ref="Z20:AB20"/>
    <mergeCell ref="AC20:AE20"/>
    <mergeCell ref="B21:D21"/>
    <mergeCell ref="E21:G21"/>
    <mergeCell ref="H21:J21"/>
    <mergeCell ref="K21:M21"/>
    <mergeCell ref="N21:P21"/>
    <mergeCell ref="Q21:S21"/>
    <mergeCell ref="T21:V21"/>
    <mergeCell ref="W21:Y21"/>
    <mergeCell ref="Z21:AB21"/>
    <mergeCell ref="AC21:AE21"/>
    <mergeCell ref="AG16:AG17"/>
    <mergeCell ref="AH16:AI17"/>
    <mergeCell ref="B17:D17"/>
    <mergeCell ref="E17:K17"/>
    <mergeCell ref="B18:AI18"/>
    <mergeCell ref="AT18:AY19"/>
    <mergeCell ref="B19:D19"/>
    <mergeCell ref="E19:G19"/>
    <mergeCell ref="H19:J19"/>
    <mergeCell ref="K19:M19"/>
    <mergeCell ref="N19:P19"/>
    <mergeCell ref="Q19:S19"/>
    <mergeCell ref="T19:V19"/>
    <mergeCell ref="W19:Y19"/>
    <mergeCell ref="Z19:AB19"/>
    <mergeCell ref="AC19:AE19"/>
    <mergeCell ref="AF19:AQ22"/>
    <mergeCell ref="B20:D20"/>
    <mergeCell ref="E20:G20"/>
    <mergeCell ref="H20:J20"/>
    <mergeCell ref="K20:M20"/>
    <mergeCell ref="N20:P20"/>
    <mergeCell ref="Q20:S20"/>
    <mergeCell ref="T20:V20"/>
    <mergeCell ref="A16:A17"/>
    <mergeCell ref="B16:D16"/>
    <mergeCell ref="E16:K16"/>
    <mergeCell ref="L16:P17"/>
    <mergeCell ref="R16:V17"/>
    <mergeCell ref="W16:Y17"/>
    <mergeCell ref="Z16:AB17"/>
    <mergeCell ref="AC16:AE17"/>
    <mergeCell ref="AF16:AF17"/>
    <mergeCell ref="AH12:AI13"/>
    <mergeCell ref="B13:D13"/>
    <mergeCell ref="E13:K13"/>
    <mergeCell ref="A14:A15"/>
    <mergeCell ref="B14:D14"/>
    <mergeCell ref="E14:K14"/>
    <mergeCell ref="L14:P15"/>
    <mergeCell ref="R14:V15"/>
    <mergeCell ref="W14:Y15"/>
    <mergeCell ref="AC14:AE15"/>
    <mergeCell ref="AF14:AF15"/>
    <mergeCell ref="AG14:AG15"/>
    <mergeCell ref="AH14:AI15"/>
    <mergeCell ref="B15:D15"/>
    <mergeCell ref="E15:K15"/>
    <mergeCell ref="A12:A13"/>
    <mergeCell ref="B12:D12"/>
    <mergeCell ref="E12:K12"/>
    <mergeCell ref="L12:P13"/>
    <mergeCell ref="R12:V13"/>
    <mergeCell ref="W12:Y13"/>
    <mergeCell ref="AC12:AE13"/>
    <mergeCell ref="AF12:AF13"/>
    <mergeCell ref="AG12:AG13"/>
    <mergeCell ref="A10:A11"/>
    <mergeCell ref="B10:D10"/>
    <mergeCell ref="E10:K10"/>
    <mergeCell ref="L10:P11"/>
    <mergeCell ref="R10:V11"/>
    <mergeCell ref="AC10:AE11"/>
    <mergeCell ref="AF10:AF11"/>
    <mergeCell ref="AG10:AG11"/>
    <mergeCell ref="AH10:AI11"/>
    <mergeCell ref="B11:D11"/>
    <mergeCell ref="E11:K11"/>
    <mergeCell ref="AC7:AE7"/>
    <mergeCell ref="AH7:AI7"/>
    <mergeCell ref="A8:A9"/>
    <mergeCell ref="B8:D8"/>
    <mergeCell ref="E8:K8"/>
    <mergeCell ref="L8:P9"/>
    <mergeCell ref="R8:V9"/>
    <mergeCell ref="W8:Y9"/>
    <mergeCell ref="Z8:AB9"/>
    <mergeCell ref="AC8:AE9"/>
    <mergeCell ref="AF8:AF9"/>
    <mergeCell ref="AG8:AG9"/>
    <mergeCell ref="AH8:AI9"/>
    <mergeCell ref="B9:D9"/>
    <mergeCell ref="E9:K9"/>
    <mergeCell ref="B7:K7"/>
    <mergeCell ref="L7:P7"/>
    <mergeCell ref="Q7:Q17"/>
    <mergeCell ref="R7:V7"/>
    <mergeCell ref="W7:Y7"/>
    <mergeCell ref="Z7:AB7"/>
    <mergeCell ref="W10:Y11"/>
    <mergeCell ref="Z10:AB11"/>
    <mergeCell ref="Z12:AB13"/>
    <mergeCell ref="Z14:AB15"/>
    <mergeCell ref="C6:H6"/>
    <mergeCell ref="I6:J6"/>
    <mergeCell ref="K6:AI6"/>
    <mergeCell ref="H4:M4"/>
    <mergeCell ref="N4:T4"/>
    <mergeCell ref="U4:Y4"/>
    <mergeCell ref="Z4:AE4"/>
    <mergeCell ref="B5:J5"/>
    <mergeCell ref="K5:AE5"/>
    <mergeCell ref="AT1:AW1"/>
    <mergeCell ref="AX1:AY1"/>
    <mergeCell ref="J2:T2"/>
    <mergeCell ref="U2:W2"/>
    <mergeCell ref="X2:AE2"/>
    <mergeCell ref="AD3:AE3"/>
    <mergeCell ref="P3:T3"/>
    <mergeCell ref="U3:Z3"/>
    <mergeCell ref="AB3:AC3"/>
    <mergeCell ref="A1:AE1"/>
    <mergeCell ref="B3:C3"/>
    <mergeCell ref="D3:K3"/>
    <mergeCell ref="L3:O3"/>
  </mergeCells>
  <conditionalFormatting sqref="A8 A93 A178">
    <cfRule type="expression" dxfId="951" priority="195" stopIfTrue="1">
      <formula>IF(AK9&gt;0,0,1)</formula>
    </cfRule>
  </conditionalFormatting>
  <conditionalFormatting sqref="A10:A11 A95:A96 A180:A181">
    <cfRule type="expression" dxfId="950" priority="194" stopIfTrue="1">
      <formula>IF(AK9&gt;1,0,1)</formula>
    </cfRule>
  </conditionalFormatting>
  <conditionalFormatting sqref="A12:A13 A97:A98 A182:A183">
    <cfRule type="expression" dxfId="949" priority="193" stopIfTrue="1">
      <formula>IF(AK9&gt;2,0,1)</formula>
    </cfRule>
  </conditionalFormatting>
  <conditionalFormatting sqref="A14:A15 A99:A100 A184:A185">
    <cfRule type="expression" dxfId="948" priority="192" stopIfTrue="1">
      <formula>IF(AK9&gt;3,0,1)</formula>
    </cfRule>
  </conditionalFormatting>
  <conditionalFormatting sqref="A16:A17 A101:A102 A186:A187">
    <cfRule type="expression" dxfId="947" priority="191" stopIfTrue="1">
      <formula>IF(AK9&gt;4,0,1)</formula>
    </cfRule>
  </conditionalFormatting>
  <conditionalFormatting sqref="B93 B8 B178">
    <cfRule type="expression" dxfId="946" priority="190" stopIfTrue="1">
      <formula>IF(AK9&gt;0,0,1)</formula>
    </cfRule>
  </conditionalFormatting>
  <conditionalFormatting sqref="B94 B9 B179">
    <cfRule type="expression" dxfId="945" priority="189" stopIfTrue="1">
      <formula>IF(AK9&gt;0,0,1)</formula>
    </cfRule>
  </conditionalFormatting>
  <conditionalFormatting sqref="B95 B10 B180">
    <cfRule type="expression" dxfId="944" priority="188" stopIfTrue="1">
      <formula>IF(AK9&gt;1,0,1)</formula>
    </cfRule>
  </conditionalFormatting>
  <conditionalFormatting sqref="B96:D96 B11:D11 B181:D181">
    <cfRule type="expression" dxfId="943" priority="187" stopIfTrue="1">
      <formula>IF(AK9&gt;1,0,1)</formula>
    </cfRule>
  </conditionalFormatting>
  <conditionalFormatting sqref="B97:D97 B12:D12 B182:D182">
    <cfRule type="expression" dxfId="942" priority="186" stopIfTrue="1">
      <formula>IF(AK9&gt;2,0,1)</formula>
    </cfRule>
  </conditionalFormatting>
  <conditionalFormatting sqref="B98:D98 B13:D13 B183:D183">
    <cfRule type="expression" dxfId="941" priority="185" stopIfTrue="1">
      <formula>IF(AK9&gt;2,0,1)</formula>
    </cfRule>
  </conditionalFormatting>
  <conditionalFormatting sqref="B99:D99 B14:D14 B184:D184">
    <cfRule type="expression" dxfId="940" priority="184" stopIfTrue="1">
      <formula>IF(AK9&gt;3,0,1)</formula>
    </cfRule>
  </conditionalFormatting>
  <conditionalFormatting sqref="B100:D100 B15:D15 B185:D185">
    <cfRule type="expression" dxfId="939" priority="183" stopIfTrue="1">
      <formula>IF(AK9&gt;3,0,1)</formula>
    </cfRule>
  </conditionalFormatting>
  <conditionalFormatting sqref="B101:D101 B16:D16 B186:D186">
    <cfRule type="expression" dxfId="938" priority="182" stopIfTrue="1">
      <formula>IF(AK9&gt;4,0,1)</formula>
    </cfRule>
  </conditionalFormatting>
  <conditionalFormatting sqref="B102:D102 B17:D17 B187:D187">
    <cfRule type="expression" dxfId="937" priority="181" stopIfTrue="1">
      <formula>IF(AK9&gt;4,0,1)</formula>
    </cfRule>
  </conditionalFormatting>
  <conditionalFormatting sqref="E8 E93 E178">
    <cfRule type="expression" dxfId="936" priority="180" stopIfTrue="1">
      <formula>IF(AK9&gt;0,0,1)</formula>
    </cfRule>
  </conditionalFormatting>
  <conditionalFormatting sqref="E9 E94 E179">
    <cfRule type="expression" dxfId="935" priority="179" stopIfTrue="1">
      <formula>IF(AK9&gt;0,0,1)</formula>
    </cfRule>
  </conditionalFormatting>
  <conditionalFormatting sqref="E10 E95 E180">
    <cfRule type="expression" dxfId="934" priority="178" stopIfTrue="1">
      <formula>IF(AK9&gt;1,0,1)</formula>
    </cfRule>
  </conditionalFormatting>
  <conditionalFormatting sqref="E11 E96 E181">
    <cfRule type="expression" dxfId="933" priority="177" stopIfTrue="1">
      <formula>IF(AK9&gt;1,0,1)</formula>
    </cfRule>
  </conditionalFormatting>
  <conditionalFormatting sqref="E12 E97 E182">
    <cfRule type="expression" dxfId="932" priority="176" stopIfTrue="1">
      <formula>IF(AK9&gt;2,0,1)</formula>
    </cfRule>
  </conditionalFormatting>
  <conditionalFormatting sqref="E13 E98 E183">
    <cfRule type="expression" dxfId="931" priority="175" stopIfTrue="1">
      <formula>IF(AK9&gt;2,0,1)</formula>
    </cfRule>
  </conditionalFormatting>
  <conditionalFormatting sqref="E14 E99 E184">
    <cfRule type="expression" dxfId="930" priority="174" stopIfTrue="1">
      <formula>IF(AK9&gt;3,0,1)</formula>
    </cfRule>
  </conditionalFormatting>
  <conditionalFormatting sqref="E15 E100 E185">
    <cfRule type="expression" dxfId="929" priority="173" stopIfTrue="1">
      <formula>IF(AK9&gt;3,0,1)</formula>
    </cfRule>
  </conditionalFormatting>
  <conditionalFormatting sqref="E16 E101 E186">
    <cfRule type="expression" dxfId="928" priority="172" stopIfTrue="1">
      <formula>IF(AK9&gt;4,0,1)</formula>
    </cfRule>
  </conditionalFormatting>
  <conditionalFormatting sqref="E17 E102 E187">
    <cfRule type="expression" dxfId="927" priority="171" stopIfTrue="1">
      <formula>IF(AK9&gt;4,0,1)</formula>
    </cfRule>
  </conditionalFormatting>
  <conditionalFormatting sqref="AC8 AC93 AC178">
    <cfRule type="expression" dxfId="926" priority="170" stopIfTrue="1">
      <formula>IF(AK11=1,IF(AK9&gt;0,0,1),1)</formula>
    </cfRule>
  </conditionalFormatting>
  <conditionalFormatting sqref="AC10:AE11 AC95:AE96 AC180:AE181">
    <cfRule type="expression" dxfId="925" priority="169" stopIfTrue="1">
      <formula>IF(AK11=1,IF(AK9&gt;1,0,1),1)</formula>
    </cfRule>
  </conditionalFormatting>
  <conditionalFormatting sqref="AC12:AE13 AC97:AE98 AC182:AE183">
    <cfRule type="expression" dxfId="924" priority="168" stopIfTrue="1">
      <formula>IF(AK11=1,IF(AK9&gt;2,0,1),1)</formula>
    </cfRule>
  </conditionalFormatting>
  <conditionalFormatting sqref="AC14:AE15 AC99:AE100 AC184:AE185">
    <cfRule type="expression" dxfId="923" priority="167" stopIfTrue="1">
      <formula>IF(AK11=1,IF(AK9&gt;3,0,1),1)</formula>
    </cfRule>
  </conditionalFormatting>
  <conditionalFormatting sqref="AC16:AE17 AC101:AE102 AC186:AE187">
    <cfRule type="expression" dxfId="922" priority="166" stopIfTrue="1">
      <formula>IF(AK11=1,IF(AK9&gt;4,0,1),1)</formula>
    </cfRule>
  </conditionalFormatting>
  <conditionalFormatting sqref="AH8 AH93 AH178">
    <cfRule type="expression" dxfId="921" priority="165" stopIfTrue="1">
      <formula>IF(AK9&gt;0,0,1)</formula>
    </cfRule>
  </conditionalFormatting>
  <conditionalFormatting sqref="AH10:AI11 AH95:AI96 AH180:AI181">
    <cfRule type="expression" dxfId="920" priority="164" stopIfTrue="1">
      <formula>IF(AK9&gt;1,0,1)</formula>
    </cfRule>
  </conditionalFormatting>
  <conditionalFormatting sqref="AH12:AI13 AH97:AI98 AH182:AI183">
    <cfRule type="expression" dxfId="919" priority="163" stopIfTrue="1">
      <formula>IF(AK9&gt;2,0,1)</formula>
    </cfRule>
  </conditionalFormatting>
  <conditionalFormatting sqref="AH14:AI15 AH99:AI100 AH184:AI185">
    <cfRule type="expression" dxfId="918" priority="162" stopIfTrue="1">
      <formula>IF(AK9&gt;3,0,1)</formula>
    </cfRule>
  </conditionalFormatting>
  <conditionalFormatting sqref="AH16:AI17 AH101:AI102 AH186:AI187">
    <cfRule type="expression" dxfId="917" priority="161" stopIfTrue="1">
      <formula>IF(AK9&gt;4,0,1)</formula>
    </cfRule>
  </conditionalFormatting>
  <conditionalFormatting sqref="B19:D19 B104:D104 B189:D189">
    <cfRule type="expression" dxfId="916" priority="160" stopIfTrue="1">
      <formula>IF(AK8&gt;0,0,1)</formula>
    </cfRule>
  </conditionalFormatting>
  <conditionalFormatting sqref="E19:G19 E104:G104 E189:G189">
    <cfRule type="expression" dxfId="915" priority="159" stopIfTrue="1">
      <formula>IF(AK8&gt;1,0,1)</formula>
    </cfRule>
  </conditionalFormatting>
  <conditionalFormatting sqref="H19:J19 H104:J104 H189:J189">
    <cfRule type="expression" dxfId="914" priority="158" stopIfTrue="1">
      <formula>IF(AK8&gt;2,0,1)</formula>
    </cfRule>
  </conditionalFormatting>
  <conditionalFormatting sqref="K19:M19 K104:M104 K189:M189">
    <cfRule type="expression" dxfId="913" priority="157" stopIfTrue="1">
      <formula>IF(AK8&gt;3,0,1)</formula>
    </cfRule>
  </conditionalFormatting>
  <conditionalFormatting sqref="N19:P19 N104:P104 N189:P189">
    <cfRule type="expression" dxfId="912" priority="156" stopIfTrue="1">
      <formula>IF(AK8&gt;4,0,1)</formula>
    </cfRule>
  </conditionalFormatting>
  <conditionalFormatting sqref="Q19:S19 Q104:S104 Q189:S189">
    <cfRule type="expression" dxfId="911" priority="155" stopIfTrue="1">
      <formula>IF(AK8&gt;5,0,1)</formula>
    </cfRule>
  </conditionalFormatting>
  <conditionalFormatting sqref="T104:V104 T19:V19 T189:V189">
    <cfRule type="expression" dxfId="910" priority="154" stopIfTrue="1">
      <formula>IF(AK8&gt;6,0,1)</formula>
    </cfRule>
  </conditionalFormatting>
  <conditionalFormatting sqref="W104:Y104 W19:Y19 W189:Y189">
    <cfRule type="expression" dxfId="909" priority="153" stopIfTrue="1">
      <formula>IF(AK8&gt;7,0,1)</formula>
    </cfRule>
  </conditionalFormatting>
  <conditionalFormatting sqref="Z104:AB104 Z19:AB19 Z189:AB189">
    <cfRule type="expression" dxfId="908" priority="152" stopIfTrue="1">
      <formula>IF(AK8&gt;8,0,1)</formula>
    </cfRule>
  </conditionalFormatting>
  <conditionalFormatting sqref="AC104:AE104 AC19:AE19 AC189:AE189">
    <cfRule type="expression" dxfId="907" priority="151" stopIfTrue="1">
      <formula>IF(AK8&gt;9,0,1)</formula>
    </cfRule>
  </conditionalFormatting>
  <conditionalFormatting sqref="B20:D20 B105:D105 B190:D190">
    <cfRule type="expression" dxfId="906" priority="150" stopIfTrue="1">
      <formula>IF(AK8&gt;0,0,1)</formula>
    </cfRule>
  </conditionalFormatting>
  <conditionalFormatting sqref="E20:G20 E105:G105 E190:G190">
    <cfRule type="expression" dxfId="905" priority="149" stopIfTrue="1">
      <formula>IF(AK8&gt;1,0,1)</formula>
    </cfRule>
  </conditionalFormatting>
  <conditionalFormatting sqref="H20:J20 H105:J105 H190:J190">
    <cfRule type="expression" dxfId="904" priority="148" stopIfTrue="1">
      <formula>IF(AK8&gt;2,0,1)</formula>
    </cfRule>
  </conditionalFormatting>
  <conditionalFormatting sqref="K20:M20 K105:M105 K190:M190">
    <cfRule type="expression" dxfId="903" priority="147" stopIfTrue="1">
      <formula>IF(AK8&gt;3,0,1)</formula>
    </cfRule>
  </conditionalFormatting>
  <conditionalFormatting sqref="N20:P20 N105:P105 N190:P190">
    <cfRule type="expression" dxfId="902" priority="146" stopIfTrue="1">
      <formula>IF(AK8&gt;4,0,1)</formula>
    </cfRule>
  </conditionalFormatting>
  <conditionalFormatting sqref="Q20:S20 Q105:S105 Q190:S190">
    <cfRule type="expression" dxfId="901" priority="145" stopIfTrue="1">
      <formula>IF(AK8&gt;5,0,1)</formula>
    </cfRule>
  </conditionalFormatting>
  <conditionalFormatting sqref="T20:V20 T105:V105 T190:V190">
    <cfRule type="expression" dxfId="900" priority="144" stopIfTrue="1">
      <formula>IF(AK8&gt;6,0,1)</formula>
    </cfRule>
  </conditionalFormatting>
  <conditionalFormatting sqref="W20:Y20 W105:Y105 W190:Y190">
    <cfRule type="expression" dxfId="899" priority="143" stopIfTrue="1">
      <formula>IF(AK8&gt;7,0,1)</formula>
    </cfRule>
  </conditionalFormatting>
  <conditionalFormatting sqref="Z20:AB20 Z105:AB105 Z190:AB190">
    <cfRule type="expression" dxfId="898" priority="142" stopIfTrue="1">
      <formula>IF(AK8&gt;8,0,1)</formula>
    </cfRule>
  </conditionalFormatting>
  <conditionalFormatting sqref="AC20:AE20 AC105:AE105 AC190:AE190">
    <cfRule type="expression" dxfId="897" priority="141" stopIfTrue="1">
      <formula>IF(AK8&gt;9,0,1)</formula>
    </cfRule>
  </conditionalFormatting>
  <conditionalFormatting sqref="E22:G22 E107:G107 E192:G192">
    <cfRule type="expression" dxfId="896" priority="140" stopIfTrue="1">
      <formula>IF(AK8&gt;1,0,1)</formula>
    </cfRule>
  </conditionalFormatting>
  <conditionalFormatting sqref="H22:J22 H107:J107 H192:J192">
    <cfRule type="expression" dxfId="895" priority="139" stopIfTrue="1">
      <formula>IF(AK8&gt;2,0,1)</formula>
    </cfRule>
  </conditionalFormatting>
  <conditionalFormatting sqref="K22:M22 K107:M107 K192:M192">
    <cfRule type="expression" dxfId="894" priority="138" stopIfTrue="1">
      <formula>IF(AK8&gt;3,0,1)</formula>
    </cfRule>
  </conditionalFormatting>
  <conditionalFormatting sqref="N22:P22 N107:P107 N192:P192">
    <cfRule type="expression" dxfId="893" priority="137" stopIfTrue="1">
      <formula>IF(AK8&gt;4,0,1)</formula>
    </cfRule>
  </conditionalFormatting>
  <conditionalFormatting sqref="Q22:S22 Q107:S107 Q192:S192">
    <cfRule type="expression" dxfId="892" priority="136" stopIfTrue="1">
      <formula>IF(AK8&gt;5,0,1)</formula>
    </cfRule>
  </conditionalFormatting>
  <conditionalFormatting sqref="T22:V22 T107:V107 T192:V192">
    <cfRule type="expression" dxfId="891" priority="135" stopIfTrue="1">
      <formula>IF(AK8&gt;6,0,1)</formula>
    </cfRule>
  </conditionalFormatting>
  <conditionalFormatting sqref="W22:Y22 W107:Y107 W192:Y192">
    <cfRule type="expression" dxfId="890" priority="134" stopIfTrue="1">
      <formula>IF(AK8&gt;7,0,1)</formula>
    </cfRule>
  </conditionalFormatting>
  <conditionalFormatting sqref="Z22:AB22 Z107:AB107 Z192:AB192">
    <cfRule type="expression" dxfId="889" priority="133" stopIfTrue="1">
      <formula>IF(AK8&gt;8,0,1)</formula>
    </cfRule>
  </conditionalFormatting>
  <conditionalFormatting sqref="AC22:AE22 AC107:AE107 AC192:AE192">
    <cfRule type="expression" dxfId="888" priority="132" stopIfTrue="1">
      <formula>IF(AK8&gt;9,0,1)</formula>
    </cfRule>
  </conditionalFormatting>
  <conditionalFormatting sqref="B24 B109 B194">
    <cfRule type="expression" dxfId="887" priority="131" stopIfTrue="1">
      <formula>IF(AK8&gt;0,0,1)</formula>
    </cfRule>
  </conditionalFormatting>
  <conditionalFormatting sqref="C24 C109 C194">
    <cfRule type="expression" dxfId="886" priority="130" stopIfTrue="1">
      <formula>IF(AK8&gt;0,0,1)</formula>
    </cfRule>
  </conditionalFormatting>
  <conditionalFormatting sqref="D24 D109 D194">
    <cfRule type="expression" dxfId="885" priority="129" stopIfTrue="1">
      <formula>IF(AK8&gt;0,0,1)</formula>
    </cfRule>
  </conditionalFormatting>
  <conditionalFormatting sqref="E23:G23 E108:G108 E193:G193">
    <cfRule type="expression" dxfId="884" priority="128" stopIfTrue="1">
      <formula>IF(AK8&gt;1,0,1)</formula>
    </cfRule>
  </conditionalFormatting>
  <conditionalFormatting sqref="F24 F109 F194">
    <cfRule type="expression" dxfId="883" priority="127" stopIfTrue="1">
      <formula>IF(AK8&gt;1,0,1)</formula>
    </cfRule>
  </conditionalFormatting>
  <conditionalFormatting sqref="G24 G109 G194">
    <cfRule type="expression" dxfId="882" priority="126" stopIfTrue="1">
      <formula>IF(AK8&gt;1,0,1)</formula>
    </cfRule>
  </conditionalFormatting>
  <conditionalFormatting sqref="H23:J23 H108:J108 H193:J193">
    <cfRule type="expression" dxfId="881" priority="125" stopIfTrue="1">
      <formula>IF(AK8&gt;2,0,1)</formula>
    </cfRule>
  </conditionalFormatting>
  <conditionalFormatting sqref="I24 I109 I194">
    <cfRule type="expression" dxfId="880" priority="124" stopIfTrue="1">
      <formula>IF(AK8&gt;2,0,1)</formula>
    </cfRule>
  </conditionalFormatting>
  <conditionalFormatting sqref="J24 J109 J194">
    <cfRule type="expression" dxfId="879" priority="123" stopIfTrue="1">
      <formula>IF(AK8&gt;2,0,1)</formula>
    </cfRule>
  </conditionalFormatting>
  <conditionalFormatting sqref="K23:M23 K108:M108 K193:M193">
    <cfRule type="expression" dxfId="878" priority="122" stopIfTrue="1">
      <formula>IF(AK8&gt;3,0,1)</formula>
    </cfRule>
  </conditionalFormatting>
  <conditionalFormatting sqref="L24 L109 L194">
    <cfRule type="expression" dxfId="877" priority="121" stopIfTrue="1">
      <formula>IF(AK8&gt;3,0,1)</formula>
    </cfRule>
  </conditionalFormatting>
  <conditionalFormatting sqref="M24 M109 M194">
    <cfRule type="expression" dxfId="876" priority="120" stopIfTrue="1">
      <formula>IF(AK8&gt;3,0,1)</formula>
    </cfRule>
  </conditionalFormatting>
  <conditionalFormatting sqref="N23:P23 N108:P108 N193:P193">
    <cfRule type="expression" dxfId="875" priority="119" stopIfTrue="1">
      <formula>IF(AK8&gt;4,0,1)</formula>
    </cfRule>
  </conditionalFormatting>
  <conditionalFormatting sqref="O24 O109 O194">
    <cfRule type="expression" dxfId="874" priority="118" stopIfTrue="1">
      <formula>IF(AK8&gt;4,0,1)</formula>
    </cfRule>
  </conditionalFormatting>
  <conditionalFormatting sqref="P24 P109 P194">
    <cfRule type="expression" dxfId="873" priority="117" stopIfTrue="1">
      <formula>IF(AK8&gt;4,0,1)</formula>
    </cfRule>
  </conditionalFormatting>
  <conditionalFormatting sqref="Q23:S23 Q108:S108 Q193:S193">
    <cfRule type="expression" dxfId="872" priority="116" stopIfTrue="1">
      <formula>IF(AK8&gt;5,0,1)</formula>
    </cfRule>
  </conditionalFormatting>
  <conditionalFormatting sqref="R24 R109 R194">
    <cfRule type="expression" dxfId="871" priority="115" stopIfTrue="1">
      <formula>IF(AK8&gt;5,0,1)</formula>
    </cfRule>
  </conditionalFormatting>
  <conditionalFormatting sqref="S24 S109 S194">
    <cfRule type="expression" dxfId="870" priority="114" stopIfTrue="1">
      <formula>IF(AK8&gt;5,0,1)</formula>
    </cfRule>
  </conditionalFormatting>
  <conditionalFormatting sqref="T23:V23 T108:V108 T193:V193">
    <cfRule type="expression" dxfId="869" priority="113" stopIfTrue="1">
      <formula>IF(AK8&gt;6,0,1)</formula>
    </cfRule>
  </conditionalFormatting>
  <conditionalFormatting sqref="U24 U109 U194">
    <cfRule type="expression" dxfId="868" priority="112" stopIfTrue="1">
      <formula>IF(AK8&gt;6,0,1)</formula>
    </cfRule>
  </conditionalFormatting>
  <conditionalFormatting sqref="V24 V109 V194">
    <cfRule type="expression" dxfId="867" priority="111" stopIfTrue="1">
      <formula>IF(AK8&gt;6,0,1)</formula>
    </cfRule>
  </conditionalFormatting>
  <conditionalFormatting sqref="W23:Y23 W108:Y108 W193:Y193">
    <cfRule type="expression" dxfId="866" priority="110" stopIfTrue="1">
      <formula>IF(AK8&gt;7,0,1)</formula>
    </cfRule>
  </conditionalFormatting>
  <conditionalFormatting sqref="X24 X109 X194">
    <cfRule type="expression" dxfId="865" priority="109" stopIfTrue="1">
      <formula>IF(AK8&gt;7,0,1)</formula>
    </cfRule>
  </conditionalFormatting>
  <conditionalFormatting sqref="Y24 Y109 Y194">
    <cfRule type="expression" dxfId="864" priority="108" stopIfTrue="1">
      <formula>IF(AK8&gt;7,0,1)</formula>
    </cfRule>
  </conditionalFormatting>
  <conditionalFormatting sqref="Z23:AB23 Z108:AB108 Z193:AB193">
    <cfRule type="expression" dxfId="863" priority="107" stopIfTrue="1">
      <formula>IF(AK8&gt;8,0,1)</formula>
    </cfRule>
  </conditionalFormatting>
  <conditionalFormatting sqref="AA24 AA109 AA194">
    <cfRule type="expression" dxfId="862" priority="106" stopIfTrue="1">
      <formula>IF(AK8&gt;8,0,1)</formula>
    </cfRule>
  </conditionalFormatting>
  <conditionalFormatting sqref="AB24 AB109 AB194">
    <cfRule type="expression" dxfId="861" priority="105" stopIfTrue="1">
      <formula>IF(AK8&gt;8,0,1)</formula>
    </cfRule>
  </conditionalFormatting>
  <conditionalFormatting sqref="AC23:AE23 AC108:AE108 AC193:AE193">
    <cfRule type="expression" dxfId="860" priority="104" stopIfTrue="1">
      <formula>IF(AK8&gt;9,0,1)</formula>
    </cfRule>
  </conditionalFormatting>
  <conditionalFormatting sqref="AD24 AD109 AD194">
    <cfRule type="expression" dxfId="859" priority="103" stopIfTrue="1">
      <formula>IF(AK8&gt;9,0,1)</formula>
    </cfRule>
  </conditionalFormatting>
  <conditionalFormatting sqref="AE24 AE109 AE194">
    <cfRule type="expression" dxfId="858" priority="102" stopIfTrue="1">
      <formula>IF(AK8&gt;9,0,1)</formula>
    </cfRule>
  </conditionalFormatting>
  <conditionalFormatting sqref="A111 A26 A196">
    <cfRule type="expression" dxfId="857" priority="101" stopIfTrue="1">
      <formula>IF(AK7&gt;1,0,1)</formula>
    </cfRule>
  </conditionalFormatting>
  <conditionalFormatting sqref="A112 A27 A197">
    <cfRule type="expression" dxfId="856" priority="100" stopIfTrue="1">
      <formula>IF(AK7&gt;2,0,1)</formula>
    </cfRule>
  </conditionalFormatting>
  <conditionalFormatting sqref="A113 A28 A198">
    <cfRule type="expression" dxfId="855" priority="99" stopIfTrue="1">
      <formula>IF(AK7&gt;3,0,1)</formula>
    </cfRule>
  </conditionalFormatting>
  <conditionalFormatting sqref="A114 A29 A199">
    <cfRule type="expression" dxfId="854" priority="98" stopIfTrue="1">
      <formula>IF(AK7&gt;4,0,1)</formula>
    </cfRule>
  </conditionalFormatting>
  <conditionalFormatting sqref="B110:D110 B25:D25 B195:D195">
    <cfRule type="expression" dxfId="853" priority="97" stopIfTrue="1">
      <formula>IF($AK8&gt;0,0,1)</formula>
    </cfRule>
  </conditionalFormatting>
  <conditionalFormatting sqref="B111:D111 B26:D26 B196:D196">
    <cfRule type="expression" dxfId="852" priority="96" stopIfTrue="1">
      <formula>IF($AK8&lt;1,1,IF($AK7&lt;2,1,0))</formula>
    </cfRule>
  </conditionalFormatting>
  <conditionalFormatting sqref="B112:D112 B27:D27 B197:D197">
    <cfRule type="expression" dxfId="851" priority="95" stopIfTrue="1">
      <formula>IF($AK8&lt;1,1,IF($AK7&lt;3,1,0))</formula>
    </cfRule>
  </conditionalFormatting>
  <conditionalFormatting sqref="B113:D113 B28:D28 B198:D198">
    <cfRule type="expression" dxfId="850" priority="94" stopIfTrue="1">
      <formula>IF($AK8&lt;1,1,IF($AK7&lt;4,1,0))</formula>
    </cfRule>
  </conditionalFormatting>
  <conditionalFormatting sqref="B114:D114 B29:D29 B199:D199">
    <cfRule type="expression" dxfId="849" priority="93" stopIfTrue="1">
      <formula>IF($AK8&lt;1,1,IF($AK7&lt;5,1,0))</formula>
    </cfRule>
  </conditionalFormatting>
  <conditionalFormatting sqref="AF111 AF26 AF196">
    <cfRule type="expression" dxfId="848" priority="92" stopIfTrue="1">
      <formula>IF($AK9&gt;2,0,1)</formula>
    </cfRule>
  </conditionalFormatting>
  <conditionalFormatting sqref="AF110 AF25 AF195">
    <cfRule type="expression" dxfId="847" priority="91" stopIfTrue="1">
      <formula>IF($AK9&gt;1,0,1)</formula>
    </cfRule>
  </conditionalFormatting>
  <conditionalFormatting sqref="AF109 AF24 AF194">
    <cfRule type="expression" dxfId="846" priority="90" stopIfTrue="1">
      <formula>IF($AK9&gt;0,0,1)</formula>
    </cfRule>
  </conditionalFormatting>
  <conditionalFormatting sqref="AF112 AF27 AF197">
    <cfRule type="expression" dxfId="845" priority="89" stopIfTrue="1">
      <formula>IF($AK9&gt;3,0,1)</formula>
    </cfRule>
  </conditionalFormatting>
  <conditionalFormatting sqref="AF113 AF28 AF198">
    <cfRule type="expression" dxfId="844" priority="88" stopIfTrue="1">
      <formula>IF($AK9&gt;4,0,1)</formula>
    </cfRule>
  </conditionalFormatting>
  <conditionalFormatting sqref="AG108 AG23 AG193">
    <cfRule type="expression" dxfId="843" priority="87" stopIfTrue="1">
      <formula>IF($AK8&lt;1,1,0)</formula>
    </cfRule>
  </conditionalFormatting>
  <conditionalFormatting sqref="AH108 AH23 AH193">
    <cfRule type="expression" dxfId="842" priority="86" stopIfTrue="1">
      <formula>IF($AK8&lt;2,1,0)</formula>
    </cfRule>
  </conditionalFormatting>
  <conditionalFormatting sqref="AI108 AI23 AI193">
    <cfRule type="expression" dxfId="841" priority="85" stopIfTrue="1">
      <formula>IF($AK8&lt;3,1,0)</formula>
    </cfRule>
  </conditionalFormatting>
  <conditionalFormatting sqref="AJ108 AJ23 AJ193">
    <cfRule type="expression" dxfId="840" priority="84" stopIfTrue="1">
      <formula>IF($AK8&lt;4,1,0)</formula>
    </cfRule>
  </conditionalFormatting>
  <conditionalFormatting sqref="AK108 AK23 AK193">
    <cfRule type="expression" dxfId="839" priority="83" stopIfTrue="1">
      <formula>IF($AK8&lt;5,1,0)</formula>
    </cfRule>
  </conditionalFormatting>
  <conditionalFormatting sqref="AL108 AL23 AL193">
    <cfRule type="expression" dxfId="838" priority="82" stopIfTrue="1">
      <formula>IF($AK8&lt;6,1,0)</formula>
    </cfRule>
  </conditionalFormatting>
  <conditionalFormatting sqref="AM108 AM23 AM193">
    <cfRule type="expression" dxfId="837" priority="81" stopIfTrue="1">
      <formula>IF($AK8&lt;7,1,0)</formula>
    </cfRule>
  </conditionalFormatting>
  <conditionalFormatting sqref="AN108 AN23 AN193">
    <cfRule type="expression" dxfId="836" priority="80" stopIfTrue="1">
      <formula>IF($AK8&lt;8,1,0)</formula>
    </cfRule>
  </conditionalFormatting>
  <conditionalFormatting sqref="AO108 AO23 AO193">
    <cfRule type="expression" dxfId="835" priority="79" stopIfTrue="1">
      <formula>IF($AK8&lt;9,1,0)</formula>
    </cfRule>
  </conditionalFormatting>
  <conditionalFormatting sqref="AP108 AP23 AP193">
    <cfRule type="expression" dxfId="834" priority="78" stopIfTrue="1">
      <formula>IF($AK8&lt;10,1,0)</formula>
    </cfRule>
  </conditionalFormatting>
  <conditionalFormatting sqref="AQ109 AQ24 AQ194">
    <cfRule type="expression" dxfId="833" priority="77" stopIfTrue="1">
      <formula>IF($AK9&gt;0,0,1)</formula>
    </cfRule>
  </conditionalFormatting>
  <conditionalFormatting sqref="AQ110 AQ25 AQ195">
    <cfRule type="expression" dxfId="832" priority="76" stopIfTrue="1">
      <formula>IF($AK9&gt;1,0,1)</formula>
    </cfRule>
  </conditionalFormatting>
  <conditionalFormatting sqref="AQ111 H110:J110 AQ26 H25:J25 AQ196 H195:J195">
    <cfRule type="expression" dxfId="831" priority="75" stopIfTrue="1">
      <formula>IF($AK8&gt;2,0,1)</formula>
    </cfRule>
  </conditionalFormatting>
  <conditionalFormatting sqref="K110:M110 K25:M25 K195:M195">
    <cfRule type="expression" dxfId="830" priority="74" stopIfTrue="1">
      <formula>IF($AK8&gt;3,0,1)</formula>
    </cfRule>
  </conditionalFormatting>
  <conditionalFormatting sqref="AQ113 AQ28 AQ198">
    <cfRule type="expression" dxfId="829" priority="73" stopIfTrue="1">
      <formula>IF($AK9&gt;4,0,1)</formula>
    </cfRule>
  </conditionalFormatting>
  <conditionalFormatting sqref="E111:G111 E26:G26 E196:G196">
    <cfRule type="expression" dxfId="828" priority="72" stopIfTrue="1">
      <formula>IF($AK8&lt;2,1,IF($AK7&lt;2,1,0))</formula>
    </cfRule>
  </conditionalFormatting>
  <conditionalFormatting sqref="E112:G112 E27:G27 E197:G197">
    <cfRule type="expression" dxfId="827" priority="71" stopIfTrue="1">
      <formula>IF($AK8&lt;2,1,IF($AK7&lt;3,1,0))</formula>
    </cfRule>
  </conditionalFormatting>
  <conditionalFormatting sqref="E113:G113 E28:G28 E198:G198">
    <cfRule type="expression" dxfId="826" priority="70" stopIfTrue="1">
      <formula>IF($AK8&lt;2,1,IF($AK7&lt;4,1,0))</formula>
    </cfRule>
  </conditionalFormatting>
  <conditionalFormatting sqref="E114:G114 E29:G29 E199:G199">
    <cfRule type="expression" dxfId="825" priority="69" stopIfTrue="1">
      <formula>IF($AK8&lt;2,1,IF($AK7&lt;5,1,0))</formula>
    </cfRule>
  </conditionalFormatting>
  <conditionalFormatting sqref="N110:P110 N25:P25 N195:P195">
    <cfRule type="expression" dxfId="824" priority="68" stopIfTrue="1">
      <formula>IF($AK8&gt;4,0,1)</formula>
    </cfRule>
  </conditionalFormatting>
  <conditionalFormatting sqref="Q110:S110 Q25:S25 Q195:S195">
    <cfRule type="expression" dxfId="823" priority="67" stopIfTrue="1">
      <formula>IF($AK8&gt;5,0,1)</formula>
    </cfRule>
  </conditionalFormatting>
  <conditionalFormatting sqref="T110:V110 T25:V25 T195:V195">
    <cfRule type="expression" dxfId="822" priority="66" stopIfTrue="1">
      <formula>IF($AK8&gt;6,0,1)</formula>
    </cfRule>
  </conditionalFormatting>
  <conditionalFormatting sqref="W110:Y110 W25:Y25 W195:Y195">
    <cfRule type="expression" dxfId="821" priority="65" stopIfTrue="1">
      <formula>IF($AK8&gt;7,0,1)</formula>
    </cfRule>
  </conditionalFormatting>
  <conditionalFormatting sqref="Z110:AB110 Z25:AB25 Z195:AB195">
    <cfRule type="expression" dxfId="820" priority="64" stopIfTrue="1">
      <formula>IF($AK8&gt;8,0,1)</formula>
    </cfRule>
  </conditionalFormatting>
  <conditionalFormatting sqref="AC110:AE110 AC25:AE25 AC195:AE195">
    <cfRule type="expression" dxfId="819" priority="63" stopIfTrue="1">
      <formula>IF($AK8&gt;9,0,1)</formula>
    </cfRule>
  </conditionalFormatting>
  <conditionalFormatting sqref="H111:J111 H26:J26 H196:J196">
    <cfRule type="expression" dxfId="818" priority="62" stopIfTrue="1">
      <formula>IF($AK8&lt;3,1,IF($AK7&lt;2,1,0))</formula>
    </cfRule>
  </conditionalFormatting>
  <conditionalFormatting sqref="K111:M111 K26:M26 K196:M196">
    <cfRule type="expression" dxfId="817" priority="61" stopIfTrue="1">
      <formula>IF($AK8&lt;4,1,IF($AK7&lt;2,1,0))</formula>
    </cfRule>
  </conditionalFormatting>
  <conditionalFormatting sqref="N111:P111 N26:P26 N196:P196">
    <cfRule type="expression" dxfId="816" priority="60" stopIfTrue="1">
      <formula>IF($AK8&lt;5,1,IF($AK7&lt;2,1,0))</formula>
    </cfRule>
  </conditionalFormatting>
  <conditionalFormatting sqref="Q111:S111 Q26:S26 Q196:S196">
    <cfRule type="expression" dxfId="815" priority="59" stopIfTrue="1">
      <formula>IF($AK8&lt;6,1,IF($AK7&lt;2,1,0))</formula>
    </cfRule>
  </conditionalFormatting>
  <conditionalFormatting sqref="T111:V111 T26:V26 T196:V196">
    <cfRule type="expression" dxfId="814" priority="58" stopIfTrue="1">
      <formula>IF($AK8&lt;7,1,IF($AK7&lt;2,1,0))</formula>
    </cfRule>
  </conditionalFormatting>
  <conditionalFormatting sqref="W111:Y111 W26:Y26 W196:Y196">
    <cfRule type="expression" dxfId="813" priority="57" stopIfTrue="1">
      <formula>IF($AK8&lt;8,1,IF($AK7&lt;2,1,0))</formula>
    </cfRule>
  </conditionalFormatting>
  <conditionalFormatting sqref="Z111:AB111 Z26:AB26 Z196:AB196">
    <cfRule type="expression" dxfId="812" priority="56" stopIfTrue="1">
      <formula>IF($AK8&lt;9,1,IF($AK7&lt;2,1,0))</formula>
    </cfRule>
  </conditionalFormatting>
  <conditionalFormatting sqref="AC111:AE111 AC26:AE26 AC196:AE196">
    <cfRule type="expression" dxfId="811" priority="55" stopIfTrue="1">
      <formula>IF($AK8&lt;10,1,IF($AK7&lt;2,1,0))</formula>
    </cfRule>
  </conditionalFormatting>
  <conditionalFormatting sqref="H112:J112 H27:J27 H197:J197">
    <cfRule type="expression" dxfId="810" priority="54" stopIfTrue="1">
      <formula>IF($AK8&lt;3,1,IF($AK7&lt;3,1,0))</formula>
    </cfRule>
  </conditionalFormatting>
  <conditionalFormatting sqref="K112:M112 K27:M27 K197:M197">
    <cfRule type="expression" dxfId="809" priority="53" stopIfTrue="1">
      <formula>IF($AK8&lt;4,1,IF($AK7&lt;3,1,0))</formula>
    </cfRule>
  </conditionalFormatting>
  <conditionalFormatting sqref="N112:P112 N27:P27 N197:P197">
    <cfRule type="expression" dxfId="808" priority="52" stopIfTrue="1">
      <formula>IF($AK8&lt;5,1,IF($AK7&lt;3,1,0))</formula>
    </cfRule>
  </conditionalFormatting>
  <conditionalFormatting sqref="Q112:S112 Q27:S27 Q197:S197">
    <cfRule type="expression" dxfId="807" priority="51" stopIfTrue="1">
      <formula>IF($AK8&lt;6,1,IF($AK7&lt;3,1,0))</formula>
    </cfRule>
  </conditionalFormatting>
  <conditionalFormatting sqref="T112:V112 T27:V27 T197:V197">
    <cfRule type="expression" dxfId="806" priority="50" stopIfTrue="1">
      <formula>IF($AK8&lt;7,1,IF($AK7&lt;3,1,0))</formula>
    </cfRule>
  </conditionalFormatting>
  <conditionalFormatting sqref="W112:Y112 W27:Y27 W197:Y197">
    <cfRule type="expression" dxfId="805" priority="49" stopIfTrue="1">
      <formula>IF($AK8&lt;8,1,IF($AK7&lt;3,1,0))</formula>
    </cfRule>
  </conditionalFormatting>
  <conditionalFormatting sqref="Z112:AB112 Z27:AB27 Z197:AB197">
    <cfRule type="expression" dxfId="804" priority="48" stopIfTrue="1">
      <formula>IF($AK8&lt;9,1,IF($AK7&lt;3,1,0))</formula>
    </cfRule>
  </conditionalFormatting>
  <conditionalFormatting sqref="AC112:AE112 AC27:AE27 AC197:AE197">
    <cfRule type="expression" dxfId="803" priority="47" stopIfTrue="1">
      <formula>IF($AK8&lt;10,1,IF($AK7&lt;3,1,0))</formula>
    </cfRule>
  </conditionalFormatting>
  <conditionalFormatting sqref="H113:J113 H28:J28 H198:J198">
    <cfRule type="expression" dxfId="802" priority="46" stopIfTrue="1">
      <formula>IF($AK8&lt;3,1,IF($AK7&lt;4,1,0))</formula>
    </cfRule>
  </conditionalFormatting>
  <conditionalFormatting sqref="K113:M113 K28:M28 K198:M198">
    <cfRule type="expression" dxfId="801" priority="45" stopIfTrue="1">
      <formula>IF($AK8&lt;4,1,IF($AK7&lt;4,1,0))</formula>
    </cfRule>
  </conditionalFormatting>
  <conditionalFormatting sqref="N113:P113 N28:P28 N198:P198">
    <cfRule type="expression" dxfId="800" priority="44" stopIfTrue="1">
      <formula>IF($AK8&lt;5,1,IF($AK7&lt;4,1,0))</formula>
    </cfRule>
  </conditionalFormatting>
  <conditionalFormatting sqref="Q113:S113 Q28:S28 Q198:S198">
    <cfRule type="expression" dxfId="799" priority="43" stopIfTrue="1">
      <formula>IF($AK8&lt;6,1,IF($AK7&lt;4,1,0))</formula>
    </cfRule>
  </conditionalFormatting>
  <conditionalFormatting sqref="T113:V113 T28:V28 T198:V198">
    <cfRule type="expression" dxfId="798" priority="42" stopIfTrue="1">
      <formula>IF($AK8&lt;7,1,IF($AK7&lt;4,1,0))</formula>
    </cfRule>
  </conditionalFormatting>
  <conditionalFormatting sqref="W113:Y113 W28:Y28 W198:Y198">
    <cfRule type="expression" dxfId="797" priority="41" stopIfTrue="1">
      <formula>IF($AK8&lt;8,1,IF($AK7&lt;4,1,0))</formula>
    </cfRule>
  </conditionalFormatting>
  <conditionalFormatting sqref="Z113:AB113 Z28:AB28 Z198:AB198">
    <cfRule type="expression" dxfId="796" priority="40" stopIfTrue="1">
      <formula>IF($AK8&lt;9,1,IF($AK7&lt;4,1,0))</formula>
    </cfRule>
  </conditionalFormatting>
  <conditionalFormatting sqref="AC113:AE113 AC28:AE28 AC198:AE198">
    <cfRule type="expression" dxfId="795" priority="39" stopIfTrue="1">
      <formula>IF($AK8&lt;10,1,IF($AK7&lt;4,1,0))</formula>
    </cfRule>
  </conditionalFormatting>
  <conditionalFormatting sqref="H114:J114 H29:J29 H199:J199">
    <cfRule type="expression" dxfId="794" priority="38" stopIfTrue="1">
      <formula>IF($AK8&lt;3,1,IF($AK7&lt;5,1,0))</formula>
    </cfRule>
  </conditionalFormatting>
  <conditionalFormatting sqref="K114:M114 K29:M29 K199:M199">
    <cfRule type="expression" dxfId="793" priority="37" stopIfTrue="1">
      <formula>IF($AK8&lt;4,1,IF($AK7&lt;5,1,0))</formula>
    </cfRule>
  </conditionalFormatting>
  <conditionalFormatting sqref="N114:P114 N29:P29 N199:P199">
    <cfRule type="expression" dxfId="792" priority="36" stopIfTrue="1">
      <formula>IF($AK8&lt;5,1,IF($AK7&lt;5,1,0))</formula>
    </cfRule>
  </conditionalFormatting>
  <conditionalFormatting sqref="Q114:S114 Q29:S29 Q199:S199">
    <cfRule type="expression" dxfId="791" priority="35" stopIfTrue="1">
      <formula>IF($AK8&lt;6,1,IF($AK7&lt;5,1,0))</formula>
    </cfRule>
  </conditionalFormatting>
  <conditionalFormatting sqref="T114:V114 T29:V29 T199:V199">
    <cfRule type="expression" dxfId="790" priority="34" stopIfTrue="1">
      <formula>IF($AK8&lt;7,1,IF($AK7&lt;5,1,0))</formula>
    </cfRule>
  </conditionalFormatting>
  <conditionalFormatting sqref="W114:Y114 W29:Y29 W199:Y199">
    <cfRule type="expression" dxfId="789" priority="33" stopIfTrue="1">
      <formula>IF($AK8&lt;8,1,IF($AK7&lt;5,1,0))</formula>
    </cfRule>
  </conditionalFormatting>
  <conditionalFormatting sqref="Z114:AB114 Z29:AB29 Z199:AB199">
    <cfRule type="expression" dxfId="788" priority="32" stopIfTrue="1">
      <formula>IF($AK8&lt;9,1,IF($AK7&lt;5,1,0))</formula>
    </cfRule>
  </conditionalFormatting>
  <conditionalFormatting sqref="AC114:AE114 AC29:AE29 AC199:AE199">
    <cfRule type="expression" dxfId="787" priority="31" stopIfTrue="1">
      <formula>IF($AK8&lt;10,1,IF($AK7&lt;5,1,0))</formula>
    </cfRule>
  </conditionalFormatting>
  <conditionalFormatting sqref="R99:AB100 AF99:AF100 L99:P100 R14:AB15 AF14:AF15 L14:P15 R184:AB185 AF184:AF185 L184:P185 AG14 AG99 AG184">
    <cfRule type="expression" dxfId="786" priority="30" stopIfTrue="1">
      <formula>IF($AK9&gt;3,0,1)</formula>
    </cfRule>
  </conditionalFormatting>
  <conditionalFormatting sqref="R101:AB102 AF101:AF102 L101:P102 R16:AB17 AF16:AF17 L16:P17 R186:AB187 AF186:AF187 L186:P187 AG16 AG101 AG186">
    <cfRule type="expression" dxfId="785" priority="29" stopIfTrue="1">
      <formula>IF($AK9&gt;4,0,1)</formula>
    </cfRule>
  </conditionalFormatting>
  <conditionalFormatting sqref="R93:AB94 AF93:AF94 L93:P94 R8:AB9 AF8:AF9 L8:P9 R178:AB179 AF178:AF179 L178:P179 AG8 AG93 AG178">
    <cfRule type="expression" dxfId="784" priority="28" stopIfTrue="1">
      <formula>IF($AK9&gt;0,0,1)</formula>
    </cfRule>
  </conditionalFormatting>
  <conditionalFormatting sqref="R95:AB96 AF95:AF96 L95:P96 R10:AB11 AF10:AF11 L10:P11 R180:AB181 AF180:AF181 L180:P181 AG10 AG95 AG180">
    <cfRule type="expression" dxfId="783" priority="27" stopIfTrue="1">
      <formula>IF($AK9&gt;1,0,1)</formula>
    </cfRule>
  </conditionalFormatting>
  <conditionalFormatting sqref="R97:AB98 AF97:AF98 L97:P98 R12:AB13 AF12:AF13 L12:P13 R182:AB183 AF182:AF183 L182:P183 AG12 AG97 AG182">
    <cfRule type="expression" dxfId="782" priority="26" stopIfTrue="1">
      <formula>IF($AK9&gt;2,0,1)</formula>
    </cfRule>
  </conditionalFormatting>
  <conditionalFormatting sqref="E24 E109 E194">
    <cfRule type="expression" dxfId="781" priority="25" stopIfTrue="1">
      <formula>IF(AK8&gt;1,0,1)</formula>
    </cfRule>
  </conditionalFormatting>
  <conditionalFormatting sqref="H24 H109 H194">
    <cfRule type="expression" dxfId="780" priority="24" stopIfTrue="1">
      <formula>IF(AK8&gt;2,0,1)</formula>
    </cfRule>
  </conditionalFormatting>
  <conditionalFormatting sqref="K24 K109 K194">
    <cfRule type="expression" dxfId="779" priority="23" stopIfTrue="1">
      <formula>IF(AK8&gt;3,0,1)</formula>
    </cfRule>
  </conditionalFormatting>
  <conditionalFormatting sqref="N24 N109 N194">
    <cfRule type="expression" dxfId="778" priority="22" stopIfTrue="1">
      <formula>IF(AK8&gt;4,0,1)</formula>
    </cfRule>
  </conditionalFormatting>
  <conditionalFormatting sqref="Q24 Q109 Q194">
    <cfRule type="expression" dxfId="777" priority="21" stopIfTrue="1">
      <formula>IF(AK8&gt;5,0,1)</formula>
    </cfRule>
  </conditionalFormatting>
  <conditionalFormatting sqref="T24 T109 T194">
    <cfRule type="expression" dxfId="776" priority="20" stopIfTrue="1">
      <formula>IF(AK8&gt;6,0,1)</formula>
    </cfRule>
  </conditionalFormatting>
  <conditionalFormatting sqref="W24 W109 W194">
    <cfRule type="expression" dxfId="775" priority="19" stopIfTrue="1">
      <formula>IF(AK8&gt;7,0,1)</formula>
    </cfRule>
  </conditionalFormatting>
  <conditionalFormatting sqref="Z24 Z109 Z194">
    <cfRule type="expression" dxfId="774" priority="18" stopIfTrue="1">
      <formula>IF(AK8&gt;8,0,1)</formula>
    </cfRule>
  </conditionalFormatting>
  <conditionalFormatting sqref="AC24 AC109 AC194">
    <cfRule type="expression" dxfId="773" priority="17" stopIfTrue="1">
      <formula>IF(AK8&gt;9,0,1)</formula>
    </cfRule>
  </conditionalFormatting>
  <conditionalFormatting sqref="AQ112 AQ27 AQ197">
    <cfRule type="expression" dxfId="772" priority="16" stopIfTrue="1">
      <formula>IF($AK9&gt;3,0,1)</formula>
    </cfRule>
  </conditionalFormatting>
  <conditionalFormatting sqref="E110:G110 E25:G25 E195:G195">
    <cfRule type="expression" dxfId="771" priority="15" stopIfTrue="1">
      <formula>IF($AK8&gt;1,0,1)</formula>
    </cfRule>
  </conditionalFormatting>
  <conditionalFormatting sqref="B106:D106 B21:D21 B191:D191">
    <cfRule type="expression" dxfId="770" priority="14" stopIfTrue="1">
      <formula>IF(AK8&gt;0,0,1)</formula>
    </cfRule>
  </conditionalFormatting>
  <conditionalFormatting sqref="E106:G106 E21:G21 E191:G191">
    <cfRule type="expression" dxfId="769" priority="13" stopIfTrue="1">
      <formula>IF(AK8&gt;1,0,1)</formula>
    </cfRule>
  </conditionalFormatting>
  <conditionalFormatting sqref="H106:J106 H21:J21 H191:J191">
    <cfRule type="expression" dxfId="768" priority="12" stopIfTrue="1">
      <formula>IF(AK8&gt;2,0,1)</formula>
    </cfRule>
  </conditionalFormatting>
  <conditionalFormatting sqref="K106:M106 K21:M21 K191:M191">
    <cfRule type="expression" dxfId="767" priority="11" stopIfTrue="1">
      <formula>IF(AK8&gt;3,0,1)</formula>
    </cfRule>
  </conditionalFormatting>
  <conditionalFormatting sqref="N106:P106 N21:P21 N191:P191">
    <cfRule type="expression" dxfId="766" priority="10" stopIfTrue="1">
      <formula>IF(AK8&gt;4,0,1)</formula>
    </cfRule>
  </conditionalFormatting>
  <conditionalFormatting sqref="Q106:S106 Q21:S21 Q191:S191">
    <cfRule type="expression" dxfId="765" priority="9" stopIfTrue="1">
      <formula>IF(AK8&gt;5,0,1)</formula>
    </cfRule>
  </conditionalFormatting>
  <conditionalFormatting sqref="T106:V106 T21:V21 T191:V191">
    <cfRule type="expression" dxfId="764" priority="8" stopIfTrue="1">
      <formula>IF(AK8&gt;6,0,1)</formula>
    </cfRule>
  </conditionalFormatting>
  <conditionalFormatting sqref="W106:Y106 W21:Y21 W191:Y191">
    <cfRule type="expression" dxfId="763" priority="7" stopIfTrue="1">
      <formula>IF(AK8&gt;7,0,1)</formula>
    </cfRule>
  </conditionalFormatting>
  <conditionalFormatting sqref="Z106:AB106 Z21:AB21 Z191:AB191">
    <cfRule type="expression" dxfId="762" priority="6" stopIfTrue="1">
      <formula>IF(AK8&gt;8,0,1)</formula>
    </cfRule>
  </conditionalFormatting>
  <conditionalFormatting sqref="AC106:AE106 AC21:AE21 AC191:AE191">
    <cfRule type="expression" dxfId="761" priority="5" stopIfTrue="1">
      <formula>IF(AK8&gt;9,0,1)</formula>
    </cfRule>
  </conditionalFormatting>
  <conditionalFormatting sqref="AG24:AP28 AG109:AP113 AG194:AP198">
    <cfRule type="cellIs" dxfId="760" priority="4" stopIfTrue="1" operator="notBetween">
      <formula>-9999</formula>
      <formula>9999</formula>
    </cfRule>
  </conditionalFormatting>
  <conditionalFormatting sqref="AC92 AC7 AC177">
    <cfRule type="expression" dxfId="759" priority="3" stopIfTrue="1">
      <formula>IF($AK$11=0,1,0)</formula>
    </cfRule>
  </conditionalFormatting>
  <conditionalFormatting sqref="B22:D23 B107:D108 B192:D193">
    <cfRule type="cellIs" dxfId="758" priority="2" stopIfTrue="1" operator="equal">
      <formula>99</formula>
    </cfRule>
  </conditionalFormatting>
  <conditionalFormatting sqref="B18 B103 B188">
    <cfRule type="expression" dxfId="757" priority="1" stopIfTrue="1">
      <formula>IF($AK$9&gt;0,0,1)</formula>
    </cfRule>
  </conditionalFormatting>
  <pageMargins left="0.25" right="0.25" top="0.25" bottom="0.25" header="0" footer="0"/>
  <pageSetup scale="78" fitToHeight="6" orientation="landscape" r:id="rId1"/>
  <headerFooter alignWithMargins="0"/>
  <rowBreaks count="2" manualBreakCount="2">
    <brk id="90" max="43" man="1"/>
    <brk id="175" max="43" man="1"/>
  </rowBreaks>
  <drawing r:id="rId2"/>
  <legacyDrawing r:id="rId3"/>
  <controls>
    <mc:AlternateContent xmlns:mc="http://schemas.openxmlformats.org/markup-compatibility/2006">
      <mc:Choice Requires="x14">
        <control shapeId="17409" r:id="rId4" name="Pool1RecalcFinish">
          <controlPr defaultSize="0" autoLine="0" autoPict="0" r:id="rId5">
            <anchor moveWithCells="1" sizeWithCells="1">
              <from>
                <xdr:col>36</xdr:col>
                <xdr:colOff>104775</xdr:colOff>
                <xdr:row>13</xdr:row>
                <xdr:rowOff>0</xdr:rowOff>
              </from>
              <to>
                <xdr:col>41</xdr:col>
                <xdr:colOff>228600</xdr:colOff>
                <xdr:row>13</xdr:row>
                <xdr:rowOff>0</xdr:rowOff>
              </to>
            </anchor>
          </controlPr>
        </control>
      </mc:Choice>
      <mc:Fallback>
        <control shapeId="17409" r:id="rId4" name="Pool1RecalcFinish"/>
      </mc:Fallback>
    </mc:AlternateContent>
    <mc:AlternateContent xmlns:mc="http://schemas.openxmlformats.org/markup-compatibility/2006">
      <mc:Choice Requires="x14">
        <control shapeId="17410" r:id="rId6" name="Pool2RecalcFinish">
          <controlPr defaultSize="0" autoLine="0" autoPict="0" r:id="rId7">
            <anchor moveWithCells="1" sizeWithCells="1">
              <from>
                <xdr:col>36</xdr:col>
                <xdr:colOff>104775</xdr:colOff>
                <xdr:row>98</xdr:row>
                <xdr:rowOff>0</xdr:rowOff>
              </from>
              <to>
                <xdr:col>41</xdr:col>
                <xdr:colOff>228600</xdr:colOff>
                <xdr:row>98</xdr:row>
                <xdr:rowOff>0</xdr:rowOff>
              </to>
            </anchor>
          </controlPr>
        </control>
      </mc:Choice>
      <mc:Fallback>
        <control shapeId="17410" r:id="rId6" name="Pool2RecalcFinish"/>
      </mc:Fallback>
    </mc:AlternateContent>
    <mc:AlternateContent xmlns:mc="http://schemas.openxmlformats.org/markup-compatibility/2006">
      <mc:Choice Requires="x14">
        <control shapeId="17411" r:id="rId8" name="Pool3RecalcFinish">
          <controlPr defaultSize="0" autoLine="0" autoPict="0" r:id="rId9">
            <anchor moveWithCells="1" sizeWithCells="1">
              <from>
                <xdr:col>36</xdr:col>
                <xdr:colOff>104775</xdr:colOff>
                <xdr:row>183</xdr:row>
                <xdr:rowOff>0</xdr:rowOff>
              </from>
              <to>
                <xdr:col>41</xdr:col>
                <xdr:colOff>228600</xdr:colOff>
                <xdr:row>183</xdr:row>
                <xdr:rowOff>0</xdr:rowOff>
              </to>
            </anchor>
          </controlPr>
        </control>
      </mc:Choice>
      <mc:Fallback>
        <control shapeId="17411" r:id="rId8" name="Pool3RecalcFinish"/>
      </mc:Fallback>
    </mc:AlternateContent>
  </control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
    <tabColor indexed="11"/>
  </sheetPr>
  <dimension ref="A1:CC658"/>
  <sheetViews>
    <sheetView topLeftCell="R1" zoomScale="70" zoomScaleNormal="70" workbookViewId="0">
      <selection activeCell="BA2" sqref="BA2"/>
    </sheetView>
  </sheetViews>
  <sheetFormatPr defaultRowHeight="12.75"/>
  <cols>
    <col min="1" max="1" width="9.140625" style="3"/>
    <col min="2" max="2" width="3.7109375" style="3" customWidth="1"/>
    <col min="3" max="3" width="2.28515625" style="3" customWidth="1"/>
    <col min="4" max="5" width="3.7109375" style="3" customWidth="1"/>
    <col min="6" max="6" width="2.28515625" style="3" customWidth="1"/>
    <col min="7" max="8" width="3.7109375" style="3" customWidth="1"/>
    <col min="9" max="9" width="2.28515625" style="3" customWidth="1"/>
    <col min="10" max="12" width="3.7109375" style="3" customWidth="1"/>
    <col min="13" max="13" width="2.28515625" style="3" customWidth="1"/>
    <col min="14" max="15" width="3.7109375" style="3" customWidth="1"/>
    <col min="16" max="16" width="2.28515625" style="3" customWidth="1"/>
    <col min="17" max="18" width="3.7109375" style="3" customWidth="1"/>
    <col min="19" max="19" width="2.28515625" style="3" customWidth="1"/>
    <col min="20" max="21" width="3.7109375" style="3" customWidth="1"/>
    <col min="22" max="22" width="2.28515625" style="3" customWidth="1"/>
    <col min="23" max="24" width="3.7109375" style="3" customWidth="1"/>
    <col min="25" max="25" width="2.28515625" style="3" customWidth="1"/>
    <col min="26" max="27" width="3.7109375" style="3" customWidth="1"/>
    <col min="28" max="28" width="2.28515625" style="3" customWidth="1"/>
    <col min="29" max="30" width="3.7109375" style="3" customWidth="1"/>
    <col min="31" max="31" width="2.28515625" style="3" customWidth="1"/>
    <col min="32" max="32" width="3.7109375" style="3" customWidth="1"/>
    <col min="33" max="33" width="9.7109375" style="3" customWidth="1"/>
    <col min="34" max="43" width="3.7109375" style="3" customWidth="1"/>
    <col min="44" max="44" width="11" style="3" customWidth="1"/>
    <col min="45" max="46" width="9.140625" style="3"/>
    <col min="47" max="47" width="24.42578125" style="3" customWidth="1"/>
    <col min="48" max="48" width="18.5703125" style="3" customWidth="1"/>
    <col min="49" max="49" width="15.140625" style="39" customWidth="1"/>
    <col min="50" max="50" width="10.5703125" style="3" customWidth="1"/>
    <col min="51" max="51" width="11.140625" style="3" customWidth="1"/>
    <col min="52" max="52" width="25" style="3" customWidth="1"/>
    <col min="53" max="53" width="6" style="3" customWidth="1"/>
    <col min="54" max="257" width="9.140625" style="3"/>
    <col min="258" max="258" width="3.7109375" style="3" customWidth="1"/>
    <col min="259" max="259" width="2.28515625" style="3" customWidth="1"/>
    <col min="260" max="261" width="3.7109375" style="3" customWidth="1"/>
    <col min="262" max="262" width="2.28515625" style="3" customWidth="1"/>
    <col min="263" max="264" width="3.7109375" style="3" customWidth="1"/>
    <col min="265" max="265" width="2.28515625" style="3" customWidth="1"/>
    <col min="266" max="268" width="3.7109375" style="3" customWidth="1"/>
    <col min="269" max="269" width="2.28515625" style="3" customWidth="1"/>
    <col min="270" max="271" width="3.7109375" style="3" customWidth="1"/>
    <col min="272" max="272" width="2.28515625" style="3" customWidth="1"/>
    <col min="273" max="274" width="3.7109375" style="3" customWidth="1"/>
    <col min="275" max="275" width="2.28515625" style="3" customWidth="1"/>
    <col min="276" max="277" width="3.7109375" style="3" customWidth="1"/>
    <col min="278" max="278" width="2.28515625" style="3" customWidth="1"/>
    <col min="279" max="280" width="3.7109375" style="3" customWidth="1"/>
    <col min="281" max="281" width="2.28515625" style="3" customWidth="1"/>
    <col min="282" max="283" width="3.7109375" style="3" customWidth="1"/>
    <col min="284" max="284" width="2.28515625" style="3" customWidth="1"/>
    <col min="285" max="286" width="3.7109375" style="3" customWidth="1"/>
    <col min="287" max="287" width="2.28515625" style="3" customWidth="1"/>
    <col min="288" max="288" width="3.7109375" style="3" customWidth="1"/>
    <col min="289" max="289" width="9.7109375" style="3" customWidth="1"/>
    <col min="290" max="299" width="3.7109375" style="3" customWidth="1"/>
    <col min="300" max="300" width="11" style="3" customWidth="1"/>
    <col min="301" max="302" width="9.140625" style="3"/>
    <col min="303" max="303" width="24.42578125" style="3" customWidth="1"/>
    <col min="304" max="304" width="18.5703125" style="3" customWidth="1"/>
    <col min="305" max="305" width="15.140625" style="3" customWidth="1"/>
    <col min="306" max="306" width="10.5703125" style="3" customWidth="1"/>
    <col min="307" max="307" width="11.140625" style="3" customWidth="1"/>
    <col min="308" max="308" width="25" style="3" customWidth="1"/>
    <col min="309" max="309" width="6" style="3" customWidth="1"/>
    <col min="310" max="513" width="9.140625" style="3"/>
    <col min="514" max="514" width="3.7109375" style="3" customWidth="1"/>
    <col min="515" max="515" width="2.28515625" style="3" customWidth="1"/>
    <col min="516" max="517" width="3.7109375" style="3" customWidth="1"/>
    <col min="518" max="518" width="2.28515625" style="3" customWidth="1"/>
    <col min="519" max="520" width="3.7109375" style="3" customWidth="1"/>
    <col min="521" max="521" width="2.28515625" style="3" customWidth="1"/>
    <col min="522" max="524" width="3.7109375" style="3" customWidth="1"/>
    <col min="525" max="525" width="2.28515625" style="3" customWidth="1"/>
    <col min="526" max="527" width="3.7109375" style="3" customWidth="1"/>
    <col min="528" max="528" width="2.28515625" style="3" customWidth="1"/>
    <col min="529" max="530" width="3.7109375" style="3" customWidth="1"/>
    <col min="531" max="531" width="2.28515625" style="3" customWidth="1"/>
    <col min="532" max="533" width="3.7109375" style="3" customWidth="1"/>
    <col min="534" max="534" width="2.28515625" style="3" customWidth="1"/>
    <col min="535" max="536" width="3.7109375" style="3" customWidth="1"/>
    <col min="537" max="537" width="2.28515625" style="3" customWidth="1"/>
    <col min="538" max="539" width="3.7109375" style="3" customWidth="1"/>
    <col min="540" max="540" width="2.28515625" style="3" customWidth="1"/>
    <col min="541" max="542" width="3.7109375" style="3" customWidth="1"/>
    <col min="543" max="543" width="2.28515625" style="3" customWidth="1"/>
    <col min="544" max="544" width="3.7109375" style="3" customWidth="1"/>
    <col min="545" max="545" width="9.7109375" style="3" customWidth="1"/>
    <col min="546" max="555" width="3.7109375" style="3" customWidth="1"/>
    <col min="556" max="556" width="11" style="3" customWidth="1"/>
    <col min="557" max="558" width="9.140625" style="3"/>
    <col min="559" max="559" width="24.42578125" style="3" customWidth="1"/>
    <col min="560" max="560" width="18.5703125" style="3" customWidth="1"/>
    <col min="561" max="561" width="15.140625" style="3" customWidth="1"/>
    <col min="562" max="562" width="10.5703125" style="3" customWidth="1"/>
    <col min="563" max="563" width="11.140625" style="3" customWidth="1"/>
    <col min="564" max="564" width="25" style="3" customWidth="1"/>
    <col min="565" max="565" width="6" style="3" customWidth="1"/>
    <col min="566" max="769" width="9.140625" style="3"/>
    <col min="770" max="770" width="3.7109375" style="3" customWidth="1"/>
    <col min="771" max="771" width="2.28515625" style="3" customWidth="1"/>
    <col min="772" max="773" width="3.7109375" style="3" customWidth="1"/>
    <col min="774" max="774" width="2.28515625" style="3" customWidth="1"/>
    <col min="775" max="776" width="3.7109375" style="3" customWidth="1"/>
    <col min="777" max="777" width="2.28515625" style="3" customWidth="1"/>
    <col min="778" max="780" width="3.7109375" style="3" customWidth="1"/>
    <col min="781" max="781" width="2.28515625" style="3" customWidth="1"/>
    <col min="782" max="783" width="3.7109375" style="3" customWidth="1"/>
    <col min="784" max="784" width="2.28515625" style="3" customWidth="1"/>
    <col min="785" max="786" width="3.7109375" style="3" customWidth="1"/>
    <col min="787" max="787" width="2.28515625" style="3" customWidth="1"/>
    <col min="788" max="789" width="3.7109375" style="3" customWidth="1"/>
    <col min="790" max="790" width="2.28515625" style="3" customWidth="1"/>
    <col min="791" max="792" width="3.7109375" style="3" customWidth="1"/>
    <col min="793" max="793" width="2.28515625" style="3" customWidth="1"/>
    <col min="794" max="795" width="3.7109375" style="3" customWidth="1"/>
    <col min="796" max="796" width="2.28515625" style="3" customWidth="1"/>
    <col min="797" max="798" width="3.7109375" style="3" customWidth="1"/>
    <col min="799" max="799" width="2.28515625" style="3" customWidth="1"/>
    <col min="800" max="800" width="3.7109375" style="3" customWidth="1"/>
    <col min="801" max="801" width="9.7109375" style="3" customWidth="1"/>
    <col min="802" max="811" width="3.7109375" style="3" customWidth="1"/>
    <col min="812" max="812" width="11" style="3" customWidth="1"/>
    <col min="813" max="814" width="9.140625" style="3"/>
    <col min="815" max="815" width="24.42578125" style="3" customWidth="1"/>
    <col min="816" max="816" width="18.5703125" style="3" customWidth="1"/>
    <col min="817" max="817" width="15.140625" style="3" customWidth="1"/>
    <col min="818" max="818" width="10.5703125" style="3" customWidth="1"/>
    <col min="819" max="819" width="11.140625" style="3" customWidth="1"/>
    <col min="820" max="820" width="25" style="3" customWidth="1"/>
    <col min="821" max="821" width="6" style="3" customWidth="1"/>
    <col min="822" max="1025" width="9.140625" style="3"/>
    <col min="1026" max="1026" width="3.7109375" style="3" customWidth="1"/>
    <col min="1027" max="1027" width="2.28515625" style="3" customWidth="1"/>
    <col min="1028" max="1029" width="3.7109375" style="3" customWidth="1"/>
    <col min="1030" max="1030" width="2.28515625" style="3" customWidth="1"/>
    <col min="1031" max="1032" width="3.7109375" style="3" customWidth="1"/>
    <col min="1033" max="1033" width="2.28515625" style="3" customWidth="1"/>
    <col min="1034" max="1036" width="3.7109375" style="3" customWidth="1"/>
    <col min="1037" max="1037" width="2.28515625" style="3" customWidth="1"/>
    <col min="1038" max="1039" width="3.7109375" style="3" customWidth="1"/>
    <col min="1040" max="1040" width="2.28515625" style="3" customWidth="1"/>
    <col min="1041" max="1042" width="3.7109375" style="3" customWidth="1"/>
    <col min="1043" max="1043" width="2.28515625" style="3" customWidth="1"/>
    <col min="1044" max="1045" width="3.7109375" style="3" customWidth="1"/>
    <col min="1046" max="1046" width="2.28515625" style="3" customWidth="1"/>
    <col min="1047" max="1048" width="3.7109375" style="3" customWidth="1"/>
    <col min="1049" max="1049" width="2.28515625" style="3" customWidth="1"/>
    <col min="1050" max="1051" width="3.7109375" style="3" customWidth="1"/>
    <col min="1052" max="1052" width="2.28515625" style="3" customWidth="1"/>
    <col min="1053" max="1054" width="3.7109375" style="3" customWidth="1"/>
    <col min="1055" max="1055" width="2.28515625" style="3" customWidth="1"/>
    <col min="1056" max="1056" width="3.7109375" style="3" customWidth="1"/>
    <col min="1057" max="1057" width="9.7109375" style="3" customWidth="1"/>
    <col min="1058" max="1067" width="3.7109375" style="3" customWidth="1"/>
    <col min="1068" max="1068" width="11" style="3" customWidth="1"/>
    <col min="1069" max="1070" width="9.140625" style="3"/>
    <col min="1071" max="1071" width="24.42578125" style="3" customWidth="1"/>
    <col min="1072" max="1072" width="18.5703125" style="3" customWidth="1"/>
    <col min="1073" max="1073" width="15.140625" style="3" customWidth="1"/>
    <col min="1074" max="1074" width="10.5703125" style="3" customWidth="1"/>
    <col min="1075" max="1075" width="11.140625" style="3" customWidth="1"/>
    <col min="1076" max="1076" width="25" style="3" customWidth="1"/>
    <col min="1077" max="1077" width="6" style="3" customWidth="1"/>
    <col min="1078" max="1281" width="9.140625" style="3"/>
    <col min="1282" max="1282" width="3.7109375" style="3" customWidth="1"/>
    <col min="1283" max="1283" width="2.28515625" style="3" customWidth="1"/>
    <col min="1284" max="1285" width="3.7109375" style="3" customWidth="1"/>
    <col min="1286" max="1286" width="2.28515625" style="3" customWidth="1"/>
    <col min="1287" max="1288" width="3.7109375" style="3" customWidth="1"/>
    <col min="1289" max="1289" width="2.28515625" style="3" customWidth="1"/>
    <col min="1290" max="1292" width="3.7109375" style="3" customWidth="1"/>
    <col min="1293" max="1293" width="2.28515625" style="3" customWidth="1"/>
    <col min="1294" max="1295" width="3.7109375" style="3" customWidth="1"/>
    <col min="1296" max="1296" width="2.28515625" style="3" customWidth="1"/>
    <col min="1297" max="1298" width="3.7109375" style="3" customWidth="1"/>
    <col min="1299" max="1299" width="2.28515625" style="3" customWidth="1"/>
    <col min="1300" max="1301" width="3.7109375" style="3" customWidth="1"/>
    <col min="1302" max="1302" width="2.28515625" style="3" customWidth="1"/>
    <col min="1303" max="1304" width="3.7109375" style="3" customWidth="1"/>
    <col min="1305" max="1305" width="2.28515625" style="3" customWidth="1"/>
    <col min="1306" max="1307" width="3.7109375" style="3" customWidth="1"/>
    <col min="1308" max="1308" width="2.28515625" style="3" customWidth="1"/>
    <col min="1309" max="1310" width="3.7109375" style="3" customWidth="1"/>
    <col min="1311" max="1311" width="2.28515625" style="3" customWidth="1"/>
    <col min="1312" max="1312" width="3.7109375" style="3" customWidth="1"/>
    <col min="1313" max="1313" width="9.7109375" style="3" customWidth="1"/>
    <col min="1314" max="1323" width="3.7109375" style="3" customWidth="1"/>
    <col min="1324" max="1324" width="11" style="3" customWidth="1"/>
    <col min="1325" max="1326" width="9.140625" style="3"/>
    <col min="1327" max="1327" width="24.42578125" style="3" customWidth="1"/>
    <col min="1328" max="1328" width="18.5703125" style="3" customWidth="1"/>
    <col min="1329" max="1329" width="15.140625" style="3" customWidth="1"/>
    <col min="1330" max="1330" width="10.5703125" style="3" customWidth="1"/>
    <col min="1331" max="1331" width="11.140625" style="3" customWidth="1"/>
    <col min="1332" max="1332" width="25" style="3" customWidth="1"/>
    <col min="1333" max="1333" width="6" style="3" customWidth="1"/>
    <col min="1334" max="1537" width="9.140625" style="3"/>
    <col min="1538" max="1538" width="3.7109375" style="3" customWidth="1"/>
    <col min="1539" max="1539" width="2.28515625" style="3" customWidth="1"/>
    <col min="1540" max="1541" width="3.7109375" style="3" customWidth="1"/>
    <col min="1542" max="1542" width="2.28515625" style="3" customWidth="1"/>
    <col min="1543" max="1544" width="3.7109375" style="3" customWidth="1"/>
    <col min="1545" max="1545" width="2.28515625" style="3" customWidth="1"/>
    <col min="1546" max="1548" width="3.7109375" style="3" customWidth="1"/>
    <col min="1549" max="1549" width="2.28515625" style="3" customWidth="1"/>
    <col min="1550" max="1551" width="3.7109375" style="3" customWidth="1"/>
    <col min="1552" max="1552" width="2.28515625" style="3" customWidth="1"/>
    <col min="1553" max="1554" width="3.7109375" style="3" customWidth="1"/>
    <col min="1555" max="1555" width="2.28515625" style="3" customWidth="1"/>
    <col min="1556" max="1557" width="3.7109375" style="3" customWidth="1"/>
    <col min="1558" max="1558" width="2.28515625" style="3" customWidth="1"/>
    <col min="1559" max="1560" width="3.7109375" style="3" customWidth="1"/>
    <col min="1561" max="1561" width="2.28515625" style="3" customWidth="1"/>
    <col min="1562" max="1563" width="3.7109375" style="3" customWidth="1"/>
    <col min="1564" max="1564" width="2.28515625" style="3" customWidth="1"/>
    <col min="1565" max="1566" width="3.7109375" style="3" customWidth="1"/>
    <col min="1567" max="1567" width="2.28515625" style="3" customWidth="1"/>
    <col min="1568" max="1568" width="3.7109375" style="3" customWidth="1"/>
    <col min="1569" max="1569" width="9.7109375" style="3" customWidth="1"/>
    <col min="1570" max="1579" width="3.7109375" style="3" customWidth="1"/>
    <col min="1580" max="1580" width="11" style="3" customWidth="1"/>
    <col min="1581" max="1582" width="9.140625" style="3"/>
    <col min="1583" max="1583" width="24.42578125" style="3" customWidth="1"/>
    <col min="1584" max="1584" width="18.5703125" style="3" customWidth="1"/>
    <col min="1585" max="1585" width="15.140625" style="3" customWidth="1"/>
    <col min="1586" max="1586" width="10.5703125" style="3" customWidth="1"/>
    <col min="1587" max="1587" width="11.140625" style="3" customWidth="1"/>
    <col min="1588" max="1588" width="25" style="3" customWidth="1"/>
    <col min="1589" max="1589" width="6" style="3" customWidth="1"/>
    <col min="1590" max="1793" width="9.140625" style="3"/>
    <col min="1794" max="1794" width="3.7109375" style="3" customWidth="1"/>
    <col min="1795" max="1795" width="2.28515625" style="3" customWidth="1"/>
    <col min="1796" max="1797" width="3.7109375" style="3" customWidth="1"/>
    <col min="1798" max="1798" width="2.28515625" style="3" customWidth="1"/>
    <col min="1799" max="1800" width="3.7109375" style="3" customWidth="1"/>
    <col min="1801" max="1801" width="2.28515625" style="3" customWidth="1"/>
    <col min="1802" max="1804" width="3.7109375" style="3" customWidth="1"/>
    <col min="1805" max="1805" width="2.28515625" style="3" customWidth="1"/>
    <col min="1806" max="1807" width="3.7109375" style="3" customWidth="1"/>
    <col min="1808" max="1808" width="2.28515625" style="3" customWidth="1"/>
    <col min="1809" max="1810" width="3.7109375" style="3" customWidth="1"/>
    <col min="1811" max="1811" width="2.28515625" style="3" customWidth="1"/>
    <col min="1812" max="1813" width="3.7109375" style="3" customWidth="1"/>
    <col min="1814" max="1814" width="2.28515625" style="3" customWidth="1"/>
    <col min="1815" max="1816" width="3.7109375" style="3" customWidth="1"/>
    <col min="1817" max="1817" width="2.28515625" style="3" customWidth="1"/>
    <col min="1818" max="1819" width="3.7109375" style="3" customWidth="1"/>
    <col min="1820" max="1820" width="2.28515625" style="3" customWidth="1"/>
    <col min="1821" max="1822" width="3.7109375" style="3" customWidth="1"/>
    <col min="1823" max="1823" width="2.28515625" style="3" customWidth="1"/>
    <col min="1824" max="1824" width="3.7109375" style="3" customWidth="1"/>
    <col min="1825" max="1825" width="9.7109375" style="3" customWidth="1"/>
    <col min="1826" max="1835" width="3.7109375" style="3" customWidth="1"/>
    <col min="1836" max="1836" width="11" style="3" customWidth="1"/>
    <col min="1837" max="1838" width="9.140625" style="3"/>
    <col min="1839" max="1839" width="24.42578125" style="3" customWidth="1"/>
    <col min="1840" max="1840" width="18.5703125" style="3" customWidth="1"/>
    <col min="1841" max="1841" width="15.140625" style="3" customWidth="1"/>
    <col min="1842" max="1842" width="10.5703125" style="3" customWidth="1"/>
    <col min="1843" max="1843" width="11.140625" style="3" customWidth="1"/>
    <col min="1844" max="1844" width="25" style="3" customWidth="1"/>
    <col min="1845" max="1845" width="6" style="3" customWidth="1"/>
    <col min="1846" max="2049" width="9.140625" style="3"/>
    <col min="2050" max="2050" width="3.7109375" style="3" customWidth="1"/>
    <col min="2051" max="2051" width="2.28515625" style="3" customWidth="1"/>
    <col min="2052" max="2053" width="3.7109375" style="3" customWidth="1"/>
    <col min="2054" max="2054" width="2.28515625" style="3" customWidth="1"/>
    <col min="2055" max="2056" width="3.7109375" style="3" customWidth="1"/>
    <col min="2057" max="2057" width="2.28515625" style="3" customWidth="1"/>
    <col min="2058" max="2060" width="3.7109375" style="3" customWidth="1"/>
    <col min="2061" max="2061" width="2.28515625" style="3" customWidth="1"/>
    <col min="2062" max="2063" width="3.7109375" style="3" customWidth="1"/>
    <col min="2064" max="2064" width="2.28515625" style="3" customWidth="1"/>
    <col min="2065" max="2066" width="3.7109375" style="3" customWidth="1"/>
    <col min="2067" max="2067" width="2.28515625" style="3" customWidth="1"/>
    <col min="2068" max="2069" width="3.7109375" style="3" customWidth="1"/>
    <col min="2070" max="2070" width="2.28515625" style="3" customWidth="1"/>
    <col min="2071" max="2072" width="3.7109375" style="3" customWidth="1"/>
    <col min="2073" max="2073" width="2.28515625" style="3" customWidth="1"/>
    <col min="2074" max="2075" width="3.7109375" style="3" customWidth="1"/>
    <col min="2076" max="2076" width="2.28515625" style="3" customWidth="1"/>
    <col min="2077" max="2078" width="3.7109375" style="3" customWidth="1"/>
    <col min="2079" max="2079" width="2.28515625" style="3" customWidth="1"/>
    <col min="2080" max="2080" width="3.7109375" style="3" customWidth="1"/>
    <col min="2081" max="2081" width="9.7109375" style="3" customWidth="1"/>
    <col min="2082" max="2091" width="3.7109375" style="3" customWidth="1"/>
    <col min="2092" max="2092" width="11" style="3" customWidth="1"/>
    <col min="2093" max="2094" width="9.140625" style="3"/>
    <col min="2095" max="2095" width="24.42578125" style="3" customWidth="1"/>
    <col min="2096" max="2096" width="18.5703125" style="3" customWidth="1"/>
    <col min="2097" max="2097" width="15.140625" style="3" customWidth="1"/>
    <col min="2098" max="2098" width="10.5703125" style="3" customWidth="1"/>
    <col min="2099" max="2099" width="11.140625" style="3" customWidth="1"/>
    <col min="2100" max="2100" width="25" style="3" customWidth="1"/>
    <col min="2101" max="2101" width="6" style="3" customWidth="1"/>
    <col min="2102" max="2305" width="9.140625" style="3"/>
    <col min="2306" max="2306" width="3.7109375" style="3" customWidth="1"/>
    <col min="2307" max="2307" width="2.28515625" style="3" customWidth="1"/>
    <col min="2308" max="2309" width="3.7109375" style="3" customWidth="1"/>
    <col min="2310" max="2310" width="2.28515625" style="3" customWidth="1"/>
    <col min="2311" max="2312" width="3.7109375" style="3" customWidth="1"/>
    <col min="2313" max="2313" width="2.28515625" style="3" customWidth="1"/>
    <col min="2314" max="2316" width="3.7109375" style="3" customWidth="1"/>
    <col min="2317" max="2317" width="2.28515625" style="3" customWidth="1"/>
    <col min="2318" max="2319" width="3.7109375" style="3" customWidth="1"/>
    <col min="2320" max="2320" width="2.28515625" style="3" customWidth="1"/>
    <col min="2321" max="2322" width="3.7109375" style="3" customWidth="1"/>
    <col min="2323" max="2323" width="2.28515625" style="3" customWidth="1"/>
    <col min="2324" max="2325" width="3.7109375" style="3" customWidth="1"/>
    <col min="2326" max="2326" width="2.28515625" style="3" customWidth="1"/>
    <col min="2327" max="2328" width="3.7109375" style="3" customWidth="1"/>
    <col min="2329" max="2329" width="2.28515625" style="3" customWidth="1"/>
    <col min="2330" max="2331" width="3.7109375" style="3" customWidth="1"/>
    <col min="2332" max="2332" width="2.28515625" style="3" customWidth="1"/>
    <col min="2333" max="2334" width="3.7109375" style="3" customWidth="1"/>
    <col min="2335" max="2335" width="2.28515625" style="3" customWidth="1"/>
    <col min="2336" max="2336" width="3.7109375" style="3" customWidth="1"/>
    <col min="2337" max="2337" width="9.7109375" style="3" customWidth="1"/>
    <col min="2338" max="2347" width="3.7109375" style="3" customWidth="1"/>
    <col min="2348" max="2348" width="11" style="3" customWidth="1"/>
    <col min="2349" max="2350" width="9.140625" style="3"/>
    <col min="2351" max="2351" width="24.42578125" style="3" customWidth="1"/>
    <col min="2352" max="2352" width="18.5703125" style="3" customWidth="1"/>
    <col min="2353" max="2353" width="15.140625" style="3" customWidth="1"/>
    <col min="2354" max="2354" width="10.5703125" style="3" customWidth="1"/>
    <col min="2355" max="2355" width="11.140625" style="3" customWidth="1"/>
    <col min="2356" max="2356" width="25" style="3" customWidth="1"/>
    <col min="2357" max="2357" width="6" style="3" customWidth="1"/>
    <col min="2358" max="2561" width="9.140625" style="3"/>
    <col min="2562" max="2562" width="3.7109375" style="3" customWidth="1"/>
    <col min="2563" max="2563" width="2.28515625" style="3" customWidth="1"/>
    <col min="2564" max="2565" width="3.7109375" style="3" customWidth="1"/>
    <col min="2566" max="2566" width="2.28515625" style="3" customWidth="1"/>
    <col min="2567" max="2568" width="3.7109375" style="3" customWidth="1"/>
    <col min="2569" max="2569" width="2.28515625" style="3" customWidth="1"/>
    <col min="2570" max="2572" width="3.7109375" style="3" customWidth="1"/>
    <col min="2573" max="2573" width="2.28515625" style="3" customWidth="1"/>
    <col min="2574" max="2575" width="3.7109375" style="3" customWidth="1"/>
    <col min="2576" max="2576" width="2.28515625" style="3" customWidth="1"/>
    <col min="2577" max="2578" width="3.7109375" style="3" customWidth="1"/>
    <col min="2579" max="2579" width="2.28515625" style="3" customWidth="1"/>
    <col min="2580" max="2581" width="3.7109375" style="3" customWidth="1"/>
    <col min="2582" max="2582" width="2.28515625" style="3" customWidth="1"/>
    <col min="2583" max="2584" width="3.7109375" style="3" customWidth="1"/>
    <col min="2585" max="2585" width="2.28515625" style="3" customWidth="1"/>
    <col min="2586" max="2587" width="3.7109375" style="3" customWidth="1"/>
    <col min="2588" max="2588" width="2.28515625" style="3" customWidth="1"/>
    <col min="2589" max="2590" width="3.7109375" style="3" customWidth="1"/>
    <col min="2591" max="2591" width="2.28515625" style="3" customWidth="1"/>
    <col min="2592" max="2592" width="3.7109375" style="3" customWidth="1"/>
    <col min="2593" max="2593" width="9.7109375" style="3" customWidth="1"/>
    <col min="2594" max="2603" width="3.7109375" style="3" customWidth="1"/>
    <col min="2604" max="2604" width="11" style="3" customWidth="1"/>
    <col min="2605" max="2606" width="9.140625" style="3"/>
    <col min="2607" max="2607" width="24.42578125" style="3" customWidth="1"/>
    <col min="2608" max="2608" width="18.5703125" style="3" customWidth="1"/>
    <col min="2609" max="2609" width="15.140625" style="3" customWidth="1"/>
    <col min="2610" max="2610" width="10.5703125" style="3" customWidth="1"/>
    <col min="2611" max="2611" width="11.140625" style="3" customWidth="1"/>
    <col min="2612" max="2612" width="25" style="3" customWidth="1"/>
    <col min="2613" max="2613" width="6" style="3" customWidth="1"/>
    <col min="2614" max="2817" width="9.140625" style="3"/>
    <col min="2818" max="2818" width="3.7109375" style="3" customWidth="1"/>
    <col min="2819" max="2819" width="2.28515625" style="3" customWidth="1"/>
    <col min="2820" max="2821" width="3.7109375" style="3" customWidth="1"/>
    <col min="2822" max="2822" width="2.28515625" style="3" customWidth="1"/>
    <col min="2823" max="2824" width="3.7109375" style="3" customWidth="1"/>
    <col min="2825" max="2825" width="2.28515625" style="3" customWidth="1"/>
    <col min="2826" max="2828" width="3.7109375" style="3" customWidth="1"/>
    <col min="2829" max="2829" width="2.28515625" style="3" customWidth="1"/>
    <col min="2830" max="2831" width="3.7109375" style="3" customWidth="1"/>
    <col min="2832" max="2832" width="2.28515625" style="3" customWidth="1"/>
    <col min="2833" max="2834" width="3.7109375" style="3" customWidth="1"/>
    <col min="2835" max="2835" width="2.28515625" style="3" customWidth="1"/>
    <col min="2836" max="2837" width="3.7109375" style="3" customWidth="1"/>
    <col min="2838" max="2838" width="2.28515625" style="3" customWidth="1"/>
    <col min="2839" max="2840" width="3.7109375" style="3" customWidth="1"/>
    <col min="2841" max="2841" width="2.28515625" style="3" customWidth="1"/>
    <col min="2842" max="2843" width="3.7109375" style="3" customWidth="1"/>
    <col min="2844" max="2844" width="2.28515625" style="3" customWidth="1"/>
    <col min="2845" max="2846" width="3.7109375" style="3" customWidth="1"/>
    <col min="2847" max="2847" width="2.28515625" style="3" customWidth="1"/>
    <col min="2848" max="2848" width="3.7109375" style="3" customWidth="1"/>
    <col min="2849" max="2849" width="9.7109375" style="3" customWidth="1"/>
    <col min="2850" max="2859" width="3.7109375" style="3" customWidth="1"/>
    <col min="2860" max="2860" width="11" style="3" customWidth="1"/>
    <col min="2861" max="2862" width="9.140625" style="3"/>
    <col min="2863" max="2863" width="24.42578125" style="3" customWidth="1"/>
    <col min="2864" max="2864" width="18.5703125" style="3" customWidth="1"/>
    <col min="2865" max="2865" width="15.140625" style="3" customWidth="1"/>
    <col min="2866" max="2866" width="10.5703125" style="3" customWidth="1"/>
    <col min="2867" max="2867" width="11.140625" style="3" customWidth="1"/>
    <col min="2868" max="2868" width="25" style="3" customWidth="1"/>
    <col min="2869" max="2869" width="6" style="3" customWidth="1"/>
    <col min="2870" max="3073" width="9.140625" style="3"/>
    <col min="3074" max="3074" width="3.7109375" style="3" customWidth="1"/>
    <col min="3075" max="3075" width="2.28515625" style="3" customWidth="1"/>
    <col min="3076" max="3077" width="3.7109375" style="3" customWidth="1"/>
    <col min="3078" max="3078" width="2.28515625" style="3" customWidth="1"/>
    <col min="3079" max="3080" width="3.7109375" style="3" customWidth="1"/>
    <col min="3081" max="3081" width="2.28515625" style="3" customWidth="1"/>
    <col min="3082" max="3084" width="3.7109375" style="3" customWidth="1"/>
    <col min="3085" max="3085" width="2.28515625" style="3" customWidth="1"/>
    <col min="3086" max="3087" width="3.7109375" style="3" customWidth="1"/>
    <col min="3088" max="3088" width="2.28515625" style="3" customWidth="1"/>
    <col min="3089" max="3090" width="3.7109375" style="3" customWidth="1"/>
    <col min="3091" max="3091" width="2.28515625" style="3" customWidth="1"/>
    <col min="3092" max="3093" width="3.7109375" style="3" customWidth="1"/>
    <col min="3094" max="3094" width="2.28515625" style="3" customWidth="1"/>
    <col min="3095" max="3096" width="3.7109375" style="3" customWidth="1"/>
    <col min="3097" max="3097" width="2.28515625" style="3" customWidth="1"/>
    <col min="3098" max="3099" width="3.7109375" style="3" customWidth="1"/>
    <col min="3100" max="3100" width="2.28515625" style="3" customWidth="1"/>
    <col min="3101" max="3102" width="3.7109375" style="3" customWidth="1"/>
    <col min="3103" max="3103" width="2.28515625" style="3" customWidth="1"/>
    <col min="3104" max="3104" width="3.7109375" style="3" customWidth="1"/>
    <col min="3105" max="3105" width="9.7109375" style="3" customWidth="1"/>
    <col min="3106" max="3115" width="3.7109375" style="3" customWidth="1"/>
    <col min="3116" max="3116" width="11" style="3" customWidth="1"/>
    <col min="3117" max="3118" width="9.140625" style="3"/>
    <col min="3119" max="3119" width="24.42578125" style="3" customWidth="1"/>
    <col min="3120" max="3120" width="18.5703125" style="3" customWidth="1"/>
    <col min="3121" max="3121" width="15.140625" style="3" customWidth="1"/>
    <col min="3122" max="3122" width="10.5703125" style="3" customWidth="1"/>
    <col min="3123" max="3123" width="11.140625" style="3" customWidth="1"/>
    <col min="3124" max="3124" width="25" style="3" customWidth="1"/>
    <col min="3125" max="3125" width="6" style="3" customWidth="1"/>
    <col min="3126" max="3329" width="9.140625" style="3"/>
    <col min="3330" max="3330" width="3.7109375" style="3" customWidth="1"/>
    <col min="3331" max="3331" width="2.28515625" style="3" customWidth="1"/>
    <col min="3332" max="3333" width="3.7109375" style="3" customWidth="1"/>
    <col min="3334" max="3334" width="2.28515625" style="3" customWidth="1"/>
    <col min="3335" max="3336" width="3.7109375" style="3" customWidth="1"/>
    <col min="3337" max="3337" width="2.28515625" style="3" customWidth="1"/>
    <col min="3338" max="3340" width="3.7109375" style="3" customWidth="1"/>
    <col min="3341" max="3341" width="2.28515625" style="3" customWidth="1"/>
    <col min="3342" max="3343" width="3.7109375" style="3" customWidth="1"/>
    <col min="3344" max="3344" width="2.28515625" style="3" customWidth="1"/>
    <col min="3345" max="3346" width="3.7109375" style="3" customWidth="1"/>
    <col min="3347" max="3347" width="2.28515625" style="3" customWidth="1"/>
    <col min="3348" max="3349" width="3.7109375" style="3" customWidth="1"/>
    <col min="3350" max="3350" width="2.28515625" style="3" customWidth="1"/>
    <col min="3351" max="3352" width="3.7109375" style="3" customWidth="1"/>
    <col min="3353" max="3353" width="2.28515625" style="3" customWidth="1"/>
    <col min="3354" max="3355" width="3.7109375" style="3" customWidth="1"/>
    <col min="3356" max="3356" width="2.28515625" style="3" customWidth="1"/>
    <col min="3357" max="3358" width="3.7109375" style="3" customWidth="1"/>
    <col min="3359" max="3359" width="2.28515625" style="3" customWidth="1"/>
    <col min="3360" max="3360" width="3.7109375" style="3" customWidth="1"/>
    <col min="3361" max="3361" width="9.7109375" style="3" customWidth="1"/>
    <col min="3362" max="3371" width="3.7109375" style="3" customWidth="1"/>
    <col min="3372" max="3372" width="11" style="3" customWidth="1"/>
    <col min="3373" max="3374" width="9.140625" style="3"/>
    <col min="3375" max="3375" width="24.42578125" style="3" customWidth="1"/>
    <col min="3376" max="3376" width="18.5703125" style="3" customWidth="1"/>
    <col min="3377" max="3377" width="15.140625" style="3" customWidth="1"/>
    <col min="3378" max="3378" width="10.5703125" style="3" customWidth="1"/>
    <col min="3379" max="3379" width="11.140625" style="3" customWidth="1"/>
    <col min="3380" max="3380" width="25" style="3" customWidth="1"/>
    <col min="3381" max="3381" width="6" style="3" customWidth="1"/>
    <col min="3382" max="3585" width="9.140625" style="3"/>
    <col min="3586" max="3586" width="3.7109375" style="3" customWidth="1"/>
    <col min="3587" max="3587" width="2.28515625" style="3" customWidth="1"/>
    <col min="3588" max="3589" width="3.7109375" style="3" customWidth="1"/>
    <col min="3590" max="3590" width="2.28515625" style="3" customWidth="1"/>
    <col min="3591" max="3592" width="3.7109375" style="3" customWidth="1"/>
    <col min="3593" max="3593" width="2.28515625" style="3" customWidth="1"/>
    <col min="3594" max="3596" width="3.7109375" style="3" customWidth="1"/>
    <col min="3597" max="3597" width="2.28515625" style="3" customWidth="1"/>
    <col min="3598" max="3599" width="3.7109375" style="3" customWidth="1"/>
    <col min="3600" max="3600" width="2.28515625" style="3" customWidth="1"/>
    <col min="3601" max="3602" width="3.7109375" style="3" customWidth="1"/>
    <col min="3603" max="3603" width="2.28515625" style="3" customWidth="1"/>
    <col min="3604" max="3605" width="3.7109375" style="3" customWidth="1"/>
    <col min="3606" max="3606" width="2.28515625" style="3" customWidth="1"/>
    <col min="3607" max="3608" width="3.7109375" style="3" customWidth="1"/>
    <col min="3609" max="3609" width="2.28515625" style="3" customWidth="1"/>
    <col min="3610" max="3611" width="3.7109375" style="3" customWidth="1"/>
    <col min="3612" max="3612" width="2.28515625" style="3" customWidth="1"/>
    <col min="3613" max="3614" width="3.7109375" style="3" customWidth="1"/>
    <col min="3615" max="3615" width="2.28515625" style="3" customWidth="1"/>
    <col min="3616" max="3616" width="3.7109375" style="3" customWidth="1"/>
    <col min="3617" max="3617" width="9.7109375" style="3" customWidth="1"/>
    <col min="3618" max="3627" width="3.7109375" style="3" customWidth="1"/>
    <col min="3628" max="3628" width="11" style="3" customWidth="1"/>
    <col min="3629" max="3630" width="9.140625" style="3"/>
    <col min="3631" max="3631" width="24.42578125" style="3" customWidth="1"/>
    <col min="3632" max="3632" width="18.5703125" style="3" customWidth="1"/>
    <col min="3633" max="3633" width="15.140625" style="3" customWidth="1"/>
    <col min="3634" max="3634" width="10.5703125" style="3" customWidth="1"/>
    <col min="3635" max="3635" width="11.140625" style="3" customWidth="1"/>
    <col min="3636" max="3636" width="25" style="3" customWidth="1"/>
    <col min="3637" max="3637" width="6" style="3" customWidth="1"/>
    <col min="3638" max="3841" width="9.140625" style="3"/>
    <col min="3842" max="3842" width="3.7109375" style="3" customWidth="1"/>
    <col min="3843" max="3843" width="2.28515625" style="3" customWidth="1"/>
    <col min="3844" max="3845" width="3.7109375" style="3" customWidth="1"/>
    <col min="3846" max="3846" width="2.28515625" style="3" customWidth="1"/>
    <col min="3847" max="3848" width="3.7109375" style="3" customWidth="1"/>
    <col min="3849" max="3849" width="2.28515625" style="3" customWidth="1"/>
    <col min="3850" max="3852" width="3.7109375" style="3" customWidth="1"/>
    <col min="3853" max="3853" width="2.28515625" style="3" customWidth="1"/>
    <col min="3854" max="3855" width="3.7109375" style="3" customWidth="1"/>
    <col min="3856" max="3856" width="2.28515625" style="3" customWidth="1"/>
    <col min="3857" max="3858" width="3.7109375" style="3" customWidth="1"/>
    <col min="3859" max="3859" width="2.28515625" style="3" customWidth="1"/>
    <col min="3860" max="3861" width="3.7109375" style="3" customWidth="1"/>
    <col min="3862" max="3862" width="2.28515625" style="3" customWidth="1"/>
    <col min="3863" max="3864" width="3.7109375" style="3" customWidth="1"/>
    <col min="3865" max="3865" width="2.28515625" style="3" customWidth="1"/>
    <col min="3866" max="3867" width="3.7109375" style="3" customWidth="1"/>
    <col min="3868" max="3868" width="2.28515625" style="3" customWidth="1"/>
    <col min="3869" max="3870" width="3.7109375" style="3" customWidth="1"/>
    <col min="3871" max="3871" width="2.28515625" style="3" customWidth="1"/>
    <col min="3872" max="3872" width="3.7109375" style="3" customWidth="1"/>
    <col min="3873" max="3873" width="9.7109375" style="3" customWidth="1"/>
    <col min="3874" max="3883" width="3.7109375" style="3" customWidth="1"/>
    <col min="3884" max="3884" width="11" style="3" customWidth="1"/>
    <col min="3885" max="3886" width="9.140625" style="3"/>
    <col min="3887" max="3887" width="24.42578125" style="3" customWidth="1"/>
    <col min="3888" max="3888" width="18.5703125" style="3" customWidth="1"/>
    <col min="3889" max="3889" width="15.140625" style="3" customWidth="1"/>
    <col min="3890" max="3890" width="10.5703125" style="3" customWidth="1"/>
    <col min="3891" max="3891" width="11.140625" style="3" customWidth="1"/>
    <col min="3892" max="3892" width="25" style="3" customWidth="1"/>
    <col min="3893" max="3893" width="6" style="3" customWidth="1"/>
    <col min="3894" max="4097" width="9.140625" style="3"/>
    <col min="4098" max="4098" width="3.7109375" style="3" customWidth="1"/>
    <col min="4099" max="4099" width="2.28515625" style="3" customWidth="1"/>
    <col min="4100" max="4101" width="3.7109375" style="3" customWidth="1"/>
    <col min="4102" max="4102" width="2.28515625" style="3" customWidth="1"/>
    <col min="4103" max="4104" width="3.7109375" style="3" customWidth="1"/>
    <col min="4105" max="4105" width="2.28515625" style="3" customWidth="1"/>
    <col min="4106" max="4108" width="3.7109375" style="3" customWidth="1"/>
    <col min="4109" max="4109" width="2.28515625" style="3" customWidth="1"/>
    <col min="4110" max="4111" width="3.7109375" style="3" customWidth="1"/>
    <col min="4112" max="4112" width="2.28515625" style="3" customWidth="1"/>
    <col min="4113" max="4114" width="3.7109375" style="3" customWidth="1"/>
    <col min="4115" max="4115" width="2.28515625" style="3" customWidth="1"/>
    <col min="4116" max="4117" width="3.7109375" style="3" customWidth="1"/>
    <col min="4118" max="4118" width="2.28515625" style="3" customWidth="1"/>
    <col min="4119" max="4120" width="3.7109375" style="3" customWidth="1"/>
    <col min="4121" max="4121" width="2.28515625" style="3" customWidth="1"/>
    <col min="4122" max="4123" width="3.7109375" style="3" customWidth="1"/>
    <col min="4124" max="4124" width="2.28515625" style="3" customWidth="1"/>
    <col min="4125" max="4126" width="3.7109375" style="3" customWidth="1"/>
    <col min="4127" max="4127" width="2.28515625" style="3" customWidth="1"/>
    <col min="4128" max="4128" width="3.7109375" style="3" customWidth="1"/>
    <col min="4129" max="4129" width="9.7109375" style="3" customWidth="1"/>
    <col min="4130" max="4139" width="3.7109375" style="3" customWidth="1"/>
    <col min="4140" max="4140" width="11" style="3" customWidth="1"/>
    <col min="4141" max="4142" width="9.140625" style="3"/>
    <col min="4143" max="4143" width="24.42578125" style="3" customWidth="1"/>
    <col min="4144" max="4144" width="18.5703125" style="3" customWidth="1"/>
    <col min="4145" max="4145" width="15.140625" style="3" customWidth="1"/>
    <col min="4146" max="4146" width="10.5703125" style="3" customWidth="1"/>
    <col min="4147" max="4147" width="11.140625" style="3" customWidth="1"/>
    <col min="4148" max="4148" width="25" style="3" customWidth="1"/>
    <col min="4149" max="4149" width="6" style="3" customWidth="1"/>
    <col min="4150" max="4353" width="9.140625" style="3"/>
    <col min="4354" max="4354" width="3.7109375" style="3" customWidth="1"/>
    <col min="4355" max="4355" width="2.28515625" style="3" customWidth="1"/>
    <col min="4356" max="4357" width="3.7109375" style="3" customWidth="1"/>
    <col min="4358" max="4358" width="2.28515625" style="3" customWidth="1"/>
    <col min="4359" max="4360" width="3.7109375" style="3" customWidth="1"/>
    <col min="4361" max="4361" width="2.28515625" style="3" customWidth="1"/>
    <col min="4362" max="4364" width="3.7109375" style="3" customWidth="1"/>
    <col min="4365" max="4365" width="2.28515625" style="3" customWidth="1"/>
    <col min="4366" max="4367" width="3.7109375" style="3" customWidth="1"/>
    <col min="4368" max="4368" width="2.28515625" style="3" customWidth="1"/>
    <col min="4369" max="4370" width="3.7109375" style="3" customWidth="1"/>
    <col min="4371" max="4371" width="2.28515625" style="3" customWidth="1"/>
    <col min="4372" max="4373" width="3.7109375" style="3" customWidth="1"/>
    <col min="4374" max="4374" width="2.28515625" style="3" customWidth="1"/>
    <col min="4375" max="4376" width="3.7109375" style="3" customWidth="1"/>
    <col min="4377" max="4377" width="2.28515625" style="3" customWidth="1"/>
    <col min="4378" max="4379" width="3.7109375" style="3" customWidth="1"/>
    <col min="4380" max="4380" width="2.28515625" style="3" customWidth="1"/>
    <col min="4381" max="4382" width="3.7109375" style="3" customWidth="1"/>
    <col min="4383" max="4383" width="2.28515625" style="3" customWidth="1"/>
    <col min="4384" max="4384" width="3.7109375" style="3" customWidth="1"/>
    <col min="4385" max="4385" width="9.7109375" style="3" customWidth="1"/>
    <col min="4386" max="4395" width="3.7109375" style="3" customWidth="1"/>
    <col min="4396" max="4396" width="11" style="3" customWidth="1"/>
    <col min="4397" max="4398" width="9.140625" style="3"/>
    <col min="4399" max="4399" width="24.42578125" style="3" customWidth="1"/>
    <col min="4400" max="4400" width="18.5703125" style="3" customWidth="1"/>
    <col min="4401" max="4401" width="15.140625" style="3" customWidth="1"/>
    <col min="4402" max="4402" width="10.5703125" style="3" customWidth="1"/>
    <col min="4403" max="4403" width="11.140625" style="3" customWidth="1"/>
    <col min="4404" max="4404" width="25" style="3" customWidth="1"/>
    <col min="4405" max="4405" width="6" style="3" customWidth="1"/>
    <col min="4406" max="4609" width="9.140625" style="3"/>
    <col min="4610" max="4610" width="3.7109375" style="3" customWidth="1"/>
    <col min="4611" max="4611" width="2.28515625" style="3" customWidth="1"/>
    <col min="4612" max="4613" width="3.7109375" style="3" customWidth="1"/>
    <col min="4614" max="4614" width="2.28515625" style="3" customWidth="1"/>
    <col min="4615" max="4616" width="3.7109375" style="3" customWidth="1"/>
    <col min="4617" max="4617" width="2.28515625" style="3" customWidth="1"/>
    <col min="4618" max="4620" width="3.7109375" style="3" customWidth="1"/>
    <col min="4621" max="4621" width="2.28515625" style="3" customWidth="1"/>
    <col min="4622" max="4623" width="3.7109375" style="3" customWidth="1"/>
    <col min="4624" max="4624" width="2.28515625" style="3" customWidth="1"/>
    <col min="4625" max="4626" width="3.7109375" style="3" customWidth="1"/>
    <col min="4627" max="4627" width="2.28515625" style="3" customWidth="1"/>
    <col min="4628" max="4629" width="3.7109375" style="3" customWidth="1"/>
    <col min="4630" max="4630" width="2.28515625" style="3" customWidth="1"/>
    <col min="4631" max="4632" width="3.7109375" style="3" customWidth="1"/>
    <col min="4633" max="4633" width="2.28515625" style="3" customWidth="1"/>
    <col min="4634" max="4635" width="3.7109375" style="3" customWidth="1"/>
    <col min="4636" max="4636" width="2.28515625" style="3" customWidth="1"/>
    <col min="4637" max="4638" width="3.7109375" style="3" customWidth="1"/>
    <col min="4639" max="4639" width="2.28515625" style="3" customWidth="1"/>
    <col min="4640" max="4640" width="3.7109375" style="3" customWidth="1"/>
    <col min="4641" max="4641" width="9.7109375" style="3" customWidth="1"/>
    <col min="4642" max="4651" width="3.7109375" style="3" customWidth="1"/>
    <col min="4652" max="4652" width="11" style="3" customWidth="1"/>
    <col min="4653" max="4654" width="9.140625" style="3"/>
    <col min="4655" max="4655" width="24.42578125" style="3" customWidth="1"/>
    <col min="4656" max="4656" width="18.5703125" style="3" customWidth="1"/>
    <col min="4657" max="4657" width="15.140625" style="3" customWidth="1"/>
    <col min="4658" max="4658" width="10.5703125" style="3" customWidth="1"/>
    <col min="4659" max="4659" width="11.140625" style="3" customWidth="1"/>
    <col min="4660" max="4660" width="25" style="3" customWidth="1"/>
    <col min="4661" max="4661" width="6" style="3" customWidth="1"/>
    <col min="4662" max="4865" width="9.140625" style="3"/>
    <col min="4866" max="4866" width="3.7109375" style="3" customWidth="1"/>
    <col min="4867" max="4867" width="2.28515625" style="3" customWidth="1"/>
    <col min="4868" max="4869" width="3.7109375" style="3" customWidth="1"/>
    <col min="4870" max="4870" width="2.28515625" style="3" customWidth="1"/>
    <col min="4871" max="4872" width="3.7109375" style="3" customWidth="1"/>
    <col min="4873" max="4873" width="2.28515625" style="3" customWidth="1"/>
    <col min="4874" max="4876" width="3.7109375" style="3" customWidth="1"/>
    <col min="4877" max="4877" width="2.28515625" style="3" customWidth="1"/>
    <col min="4878" max="4879" width="3.7109375" style="3" customWidth="1"/>
    <col min="4880" max="4880" width="2.28515625" style="3" customWidth="1"/>
    <col min="4881" max="4882" width="3.7109375" style="3" customWidth="1"/>
    <col min="4883" max="4883" width="2.28515625" style="3" customWidth="1"/>
    <col min="4884" max="4885" width="3.7109375" style="3" customWidth="1"/>
    <col min="4886" max="4886" width="2.28515625" style="3" customWidth="1"/>
    <col min="4887" max="4888" width="3.7109375" style="3" customWidth="1"/>
    <col min="4889" max="4889" width="2.28515625" style="3" customWidth="1"/>
    <col min="4890" max="4891" width="3.7109375" style="3" customWidth="1"/>
    <col min="4892" max="4892" width="2.28515625" style="3" customWidth="1"/>
    <col min="4893" max="4894" width="3.7109375" style="3" customWidth="1"/>
    <col min="4895" max="4895" width="2.28515625" style="3" customWidth="1"/>
    <col min="4896" max="4896" width="3.7109375" style="3" customWidth="1"/>
    <col min="4897" max="4897" width="9.7109375" style="3" customWidth="1"/>
    <col min="4898" max="4907" width="3.7109375" style="3" customWidth="1"/>
    <col min="4908" max="4908" width="11" style="3" customWidth="1"/>
    <col min="4909" max="4910" width="9.140625" style="3"/>
    <col min="4911" max="4911" width="24.42578125" style="3" customWidth="1"/>
    <col min="4912" max="4912" width="18.5703125" style="3" customWidth="1"/>
    <col min="4913" max="4913" width="15.140625" style="3" customWidth="1"/>
    <col min="4914" max="4914" width="10.5703125" style="3" customWidth="1"/>
    <col min="4915" max="4915" width="11.140625" style="3" customWidth="1"/>
    <col min="4916" max="4916" width="25" style="3" customWidth="1"/>
    <col min="4917" max="4917" width="6" style="3" customWidth="1"/>
    <col min="4918" max="5121" width="9.140625" style="3"/>
    <col min="5122" max="5122" width="3.7109375" style="3" customWidth="1"/>
    <col min="5123" max="5123" width="2.28515625" style="3" customWidth="1"/>
    <col min="5124" max="5125" width="3.7109375" style="3" customWidth="1"/>
    <col min="5126" max="5126" width="2.28515625" style="3" customWidth="1"/>
    <col min="5127" max="5128" width="3.7109375" style="3" customWidth="1"/>
    <col min="5129" max="5129" width="2.28515625" style="3" customWidth="1"/>
    <col min="5130" max="5132" width="3.7109375" style="3" customWidth="1"/>
    <col min="5133" max="5133" width="2.28515625" style="3" customWidth="1"/>
    <col min="5134" max="5135" width="3.7109375" style="3" customWidth="1"/>
    <col min="5136" max="5136" width="2.28515625" style="3" customWidth="1"/>
    <col min="5137" max="5138" width="3.7109375" style="3" customWidth="1"/>
    <col min="5139" max="5139" width="2.28515625" style="3" customWidth="1"/>
    <col min="5140" max="5141" width="3.7109375" style="3" customWidth="1"/>
    <col min="5142" max="5142" width="2.28515625" style="3" customWidth="1"/>
    <col min="5143" max="5144" width="3.7109375" style="3" customWidth="1"/>
    <col min="5145" max="5145" width="2.28515625" style="3" customWidth="1"/>
    <col min="5146" max="5147" width="3.7109375" style="3" customWidth="1"/>
    <col min="5148" max="5148" width="2.28515625" style="3" customWidth="1"/>
    <col min="5149" max="5150" width="3.7109375" style="3" customWidth="1"/>
    <col min="5151" max="5151" width="2.28515625" style="3" customWidth="1"/>
    <col min="5152" max="5152" width="3.7109375" style="3" customWidth="1"/>
    <col min="5153" max="5153" width="9.7109375" style="3" customWidth="1"/>
    <col min="5154" max="5163" width="3.7109375" style="3" customWidth="1"/>
    <col min="5164" max="5164" width="11" style="3" customWidth="1"/>
    <col min="5165" max="5166" width="9.140625" style="3"/>
    <col min="5167" max="5167" width="24.42578125" style="3" customWidth="1"/>
    <col min="5168" max="5168" width="18.5703125" style="3" customWidth="1"/>
    <col min="5169" max="5169" width="15.140625" style="3" customWidth="1"/>
    <col min="5170" max="5170" width="10.5703125" style="3" customWidth="1"/>
    <col min="5171" max="5171" width="11.140625" style="3" customWidth="1"/>
    <col min="5172" max="5172" width="25" style="3" customWidth="1"/>
    <col min="5173" max="5173" width="6" style="3" customWidth="1"/>
    <col min="5174" max="5377" width="9.140625" style="3"/>
    <col min="5378" max="5378" width="3.7109375" style="3" customWidth="1"/>
    <col min="5379" max="5379" width="2.28515625" style="3" customWidth="1"/>
    <col min="5380" max="5381" width="3.7109375" style="3" customWidth="1"/>
    <col min="5382" max="5382" width="2.28515625" style="3" customWidth="1"/>
    <col min="5383" max="5384" width="3.7109375" style="3" customWidth="1"/>
    <col min="5385" max="5385" width="2.28515625" style="3" customWidth="1"/>
    <col min="5386" max="5388" width="3.7109375" style="3" customWidth="1"/>
    <col min="5389" max="5389" width="2.28515625" style="3" customWidth="1"/>
    <col min="5390" max="5391" width="3.7109375" style="3" customWidth="1"/>
    <col min="5392" max="5392" width="2.28515625" style="3" customWidth="1"/>
    <col min="5393" max="5394" width="3.7109375" style="3" customWidth="1"/>
    <col min="5395" max="5395" width="2.28515625" style="3" customWidth="1"/>
    <col min="5396" max="5397" width="3.7109375" style="3" customWidth="1"/>
    <col min="5398" max="5398" width="2.28515625" style="3" customWidth="1"/>
    <col min="5399" max="5400" width="3.7109375" style="3" customWidth="1"/>
    <col min="5401" max="5401" width="2.28515625" style="3" customWidth="1"/>
    <col min="5402" max="5403" width="3.7109375" style="3" customWidth="1"/>
    <col min="5404" max="5404" width="2.28515625" style="3" customWidth="1"/>
    <col min="5405" max="5406" width="3.7109375" style="3" customWidth="1"/>
    <col min="5407" max="5407" width="2.28515625" style="3" customWidth="1"/>
    <col min="5408" max="5408" width="3.7109375" style="3" customWidth="1"/>
    <col min="5409" max="5409" width="9.7109375" style="3" customWidth="1"/>
    <col min="5410" max="5419" width="3.7109375" style="3" customWidth="1"/>
    <col min="5420" max="5420" width="11" style="3" customWidth="1"/>
    <col min="5421" max="5422" width="9.140625" style="3"/>
    <col min="5423" max="5423" width="24.42578125" style="3" customWidth="1"/>
    <col min="5424" max="5424" width="18.5703125" style="3" customWidth="1"/>
    <col min="5425" max="5425" width="15.140625" style="3" customWidth="1"/>
    <col min="5426" max="5426" width="10.5703125" style="3" customWidth="1"/>
    <col min="5427" max="5427" width="11.140625" style="3" customWidth="1"/>
    <col min="5428" max="5428" width="25" style="3" customWidth="1"/>
    <col min="5429" max="5429" width="6" style="3" customWidth="1"/>
    <col min="5430" max="5633" width="9.140625" style="3"/>
    <col min="5634" max="5634" width="3.7109375" style="3" customWidth="1"/>
    <col min="5635" max="5635" width="2.28515625" style="3" customWidth="1"/>
    <col min="5636" max="5637" width="3.7109375" style="3" customWidth="1"/>
    <col min="5638" max="5638" width="2.28515625" style="3" customWidth="1"/>
    <col min="5639" max="5640" width="3.7109375" style="3" customWidth="1"/>
    <col min="5641" max="5641" width="2.28515625" style="3" customWidth="1"/>
    <col min="5642" max="5644" width="3.7109375" style="3" customWidth="1"/>
    <col min="5645" max="5645" width="2.28515625" style="3" customWidth="1"/>
    <col min="5646" max="5647" width="3.7109375" style="3" customWidth="1"/>
    <col min="5648" max="5648" width="2.28515625" style="3" customWidth="1"/>
    <col min="5649" max="5650" width="3.7109375" style="3" customWidth="1"/>
    <col min="5651" max="5651" width="2.28515625" style="3" customWidth="1"/>
    <col min="5652" max="5653" width="3.7109375" style="3" customWidth="1"/>
    <col min="5654" max="5654" width="2.28515625" style="3" customWidth="1"/>
    <col min="5655" max="5656" width="3.7109375" style="3" customWidth="1"/>
    <col min="5657" max="5657" width="2.28515625" style="3" customWidth="1"/>
    <col min="5658" max="5659" width="3.7109375" style="3" customWidth="1"/>
    <col min="5660" max="5660" width="2.28515625" style="3" customWidth="1"/>
    <col min="5661" max="5662" width="3.7109375" style="3" customWidth="1"/>
    <col min="5663" max="5663" width="2.28515625" style="3" customWidth="1"/>
    <col min="5664" max="5664" width="3.7109375" style="3" customWidth="1"/>
    <col min="5665" max="5665" width="9.7109375" style="3" customWidth="1"/>
    <col min="5666" max="5675" width="3.7109375" style="3" customWidth="1"/>
    <col min="5676" max="5676" width="11" style="3" customWidth="1"/>
    <col min="5677" max="5678" width="9.140625" style="3"/>
    <col min="5679" max="5679" width="24.42578125" style="3" customWidth="1"/>
    <col min="5680" max="5680" width="18.5703125" style="3" customWidth="1"/>
    <col min="5681" max="5681" width="15.140625" style="3" customWidth="1"/>
    <col min="5682" max="5682" width="10.5703125" style="3" customWidth="1"/>
    <col min="5683" max="5683" width="11.140625" style="3" customWidth="1"/>
    <col min="5684" max="5684" width="25" style="3" customWidth="1"/>
    <col min="5685" max="5685" width="6" style="3" customWidth="1"/>
    <col min="5686" max="5889" width="9.140625" style="3"/>
    <col min="5890" max="5890" width="3.7109375" style="3" customWidth="1"/>
    <col min="5891" max="5891" width="2.28515625" style="3" customWidth="1"/>
    <col min="5892" max="5893" width="3.7109375" style="3" customWidth="1"/>
    <col min="5894" max="5894" width="2.28515625" style="3" customWidth="1"/>
    <col min="5895" max="5896" width="3.7109375" style="3" customWidth="1"/>
    <col min="5897" max="5897" width="2.28515625" style="3" customWidth="1"/>
    <col min="5898" max="5900" width="3.7109375" style="3" customWidth="1"/>
    <col min="5901" max="5901" width="2.28515625" style="3" customWidth="1"/>
    <col min="5902" max="5903" width="3.7109375" style="3" customWidth="1"/>
    <col min="5904" max="5904" width="2.28515625" style="3" customWidth="1"/>
    <col min="5905" max="5906" width="3.7109375" style="3" customWidth="1"/>
    <col min="5907" max="5907" width="2.28515625" style="3" customWidth="1"/>
    <col min="5908" max="5909" width="3.7109375" style="3" customWidth="1"/>
    <col min="5910" max="5910" width="2.28515625" style="3" customWidth="1"/>
    <col min="5911" max="5912" width="3.7109375" style="3" customWidth="1"/>
    <col min="5913" max="5913" width="2.28515625" style="3" customWidth="1"/>
    <col min="5914" max="5915" width="3.7109375" style="3" customWidth="1"/>
    <col min="5916" max="5916" width="2.28515625" style="3" customWidth="1"/>
    <col min="5917" max="5918" width="3.7109375" style="3" customWidth="1"/>
    <col min="5919" max="5919" width="2.28515625" style="3" customWidth="1"/>
    <col min="5920" max="5920" width="3.7109375" style="3" customWidth="1"/>
    <col min="5921" max="5921" width="9.7109375" style="3" customWidth="1"/>
    <col min="5922" max="5931" width="3.7109375" style="3" customWidth="1"/>
    <col min="5932" max="5932" width="11" style="3" customWidth="1"/>
    <col min="5933" max="5934" width="9.140625" style="3"/>
    <col min="5935" max="5935" width="24.42578125" style="3" customWidth="1"/>
    <col min="5936" max="5936" width="18.5703125" style="3" customWidth="1"/>
    <col min="5937" max="5937" width="15.140625" style="3" customWidth="1"/>
    <col min="5938" max="5938" width="10.5703125" style="3" customWidth="1"/>
    <col min="5939" max="5939" width="11.140625" style="3" customWidth="1"/>
    <col min="5940" max="5940" width="25" style="3" customWidth="1"/>
    <col min="5941" max="5941" width="6" style="3" customWidth="1"/>
    <col min="5942" max="6145" width="9.140625" style="3"/>
    <col min="6146" max="6146" width="3.7109375" style="3" customWidth="1"/>
    <col min="6147" max="6147" width="2.28515625" style="3" customWidth="1"/>
    <col min="6148" max="6149" width="3.7109375" style="3" customWidth="1"/>
    <col min="6150" max="6150" width="2.28515625" style="3" customWidth="1"/>
    <col min="6151" max="6152" width="3.7109375" style="3" customWidth="1"/>
    <col min="6153" max="6153" width="2.28515625" style="3" customWidth="1"/>
    <col min="6154" max="6156" width="3.7109375" style="3" customWidth="1"/>
    <col min="6157" max="6157" width="2.28515625" style="3" customWidth="1"/>
    <col min="6158" max="6159" width="3.7109375" style="3" customWidth="1"/>
    <col min="6160" max="6160" width="2.28515625" style="3" customWidth="1"/>
    <col min="6161" max="6162" width="3.7109375" style="3" customWidth="1"/>
    <col min="6163" max="6163" width="2.28515625" style="3" customWidth="1"/>
    <col min="6164" max="6165" width="3.7109375" style="3" customWidth="1"/>
    <col min="6166" max="6166" width="2.28515625" style="3" customWidth="1"/>
    <col min="6167" max="6168" width="3.7109375" style="3" customWidth="1"/>
    <col min="6169" max="6169" width="2.28515625" style="3" customWidth="1"/>
    <col min="6170" max="6171" width="3.7109375" style="3" customWidth="1"/>
    <col min="6172" max="6172" width="2.28515625" style="3" customWidth="1"/>
    <col min="6173" max="6174" width="3.7109375" style="3" customWidth="1"/>
    <col min="6175" max="6175" width="2.28515625" style="3" customWidth="1"/>
    <col min="6176" max="6176" width="3.7109375" style="3" customWidth="1"/>
    <col min="6177" max="6177" width="9.7109375" style="3" customWidth="1"/>
    <col min="6178" max="6187" width="3.7109375" style="3" customWidth="1"/>
    <col min="6188" max="6188" width="11" style="3" customWidth="1"/>
    <col min="6189" max="6190" width="9.140625" style="3"/>
    <col min="6191" max="6191" width="24.42578125" style="3" customWidth="1"/>
    <col min="6192" max="6192" width="18.5703125" style="3" customWidth="1"/>
    <col min="6193" max="6193" width="15.140625" style="3" customWidth="1"/>
    <col min="6194" max="6194" width="10.5703125" style="3" customWidth="1"/>
    <col min="6195" max="6195" width="11.140625" style="3" customWidth="1"/>
    <col min="6196" max="6196" width="25" style="3" customWidth="1"/>
    <col min="6197" max="6197" width="6" style="3" customWidth="1"/>
    <col min="6198" max="6401" width="9.140625" style="3"/>
    <col min="6402" max="6402" width="3.7109375" style="3" customWidth="1"/>
    <col min="6403" max="6403" width="2.28515625" style="3" customWidth="1"/>
    <col min="6404" max="6405" width="3.7109375" style="3" customWidth="1"/>
    <col min="6406" max="6406" width="2.28515625" style="3" customWidth="1"/>
    <col min="6407" max="6408" width="3.7109375" style="3" customWidth="1"/>
    <col min="6409" max="6409" width="2.28515625" style="3" customWidth="1"/>
    <col min="6410" max="6412" width="3.7109375" style="3" customWidth="1"/>
    <col min="6413" max="6413" width="2.28515625" style="3" customWidth="1"/>
    <col min="6414" max="6415" width="3.7109375" style="3" customWidth="1"/>
    <col min="6416" max="6416" width="2.28515625" style="3" customWidth="1"/>
    <col min="6417" max="6418" width="3.7109375" style="3" customWidth="1"/>
    <col min="6419" max="6419" width="2.28515625" style="3" customWidth="1"/>
    <col min="6420" max="6421" width="3.7109375" style="3" customWidth="1"/>
    <col min="6422" max="6422" width="2.28515625" style="3" customWidth="1"/>
    <col min="6423" max="6424" width="3.7109375" style="3" customWidth="1"/>
    <col min="6425" max="6425" width="2.28515625" style="3" customWidth="1"/>
    <col min="6426" max="6427" width="3.7109375" style="3" customWidth="1"/>
    <col min="6428" max="6428" width="2.28515625" style="3" customWidth="1"/>
    <col min="6429" max="6430" width="3.7109375" style="3" customWidth="1"/>
    <col min="6431" max="6431" width="2.28515625" style="3" customWidth="1"/>
    <col min="6432" max="6432" width="3.7109375" style="3" customWidth="1"/>
    <col min="6433" max="6433" width="9.7109375" style="3" customWidth="1"/>
    <col min="6434" max="6443" width="3.7109375" style="3" customWidth="1"/>
    <col min="6444" max="6444" width="11" style="3" customWidth="1"/>
    <col min="6445" max="6446" width="9.140625" style="3"/>
    <col min="6447" max="6447" width="24.42578125" style="3" customWidth="1"/>
    <col min="6448" max="6448" width="18.5703125" style="3" customWidth="1"/>
    <col min="6449" max="6449" width="15.140625" style="3" customWidth="1"/>
    <col min="6450" max="6450" width="10.5703125" style="3" customWidth="1"/>
    <col min="6451" max="6451" width="11.140625" style="3" customWidth="1"/>
    <col min="6452" max="6452" width="25" style="3" customWidth="1"/>
    <col min="6453" max="6453" width="6" style="3" customWidth="1"/>
    <col min="6454" max="6657" width="9.140625" style="3"/>
    <col min="6658" max="6658" width="3.7109375" style="3" customWidth="1"/>
    <col min="6659" max="6659" width="2.28515625" style="3" customWidth="1"/>
    <col min="6660" max="6661" width="3.7109375" style="3" customWidth="1"/>
    <col min="6662" max="6662" width="2.28515625" style="3" customWidth="1"/>
    <col min="6663" max="6664" width="3.7109375" style="3" customWidth="1"/>
    <col min="6665" max="6665" width="2.28515625" style="3" customWidth="1"/>
    <col min="6666" max="6668" width="3.7109375" style="3" customWidth="1"/>
    <col min="6669" max="6669" width="2.28515625" style="3" customWidth="1"/>
    <col min="6670" max="6671" width="3.7109375" style="3" customWidth="1"/>
    <col min="6672" max="6672" width="2.28515625" style="3" customWidth="1"/>
    <col min="6673" max="6674" width="3.7109375" style="3" customWidth="1"/>
    <col min="6675" max="6675" width="2.28515625" style="3" customWidth="1"/>
    <col min="6676" max="6677" width="3.7109375" style="3" customWidth="1"/>
    <col min="6678" max="6678" width="2.28515625" style="3" customWidth="1"/>
    <col min="6679" max="6680" width="3.7109375" style="3" customWidth="1"/>
    <col min="6681" max="6681" width="2.28515625" style="3" customWidth="1"/>
    <col min="6682" max="6683" width="3.7109375" style="3" customWidth="1"/>
    <col min="6684" max="6684" width="2.28515625" style="3" customWidth="1"/>
    <col min="6685" max="6686" width="3.7109375" style="3" customWidth="1"/>
    <col min="6687" max="6687" width="2.28515625" style="3" customWidth="1"/>
    <col min="6688" max="6688" width="3.7109375" style="3" customWidth="1"/>
    <col min="6689" max="6689" width="9.7109375" style="3" customWidth="1"/>
    <col min="6690" max="6699" width="3.7109375" style="3" customWidth="1"/>
    <col min="6700" max="6700" width="11" style="3" customWidth="1"/>
    <col min="6701" max="6702" width="9.140625" style="3"/>
    <col min="6703" max="6703" width="24.42578125" style="3" customWidth="1"/>
    <col min="6704" max="6704" width="18.5703125" style="3" customWidth="1"/>
    <col min="6705" max="6705" width="15.140625" style="3" customWidth="1"/>
    <col min="6706" max="6706" width="10.5703125" style="3" customWidth="1"/>
    <col min="6707" max="6707" width="11.140625" style="3" customWidth="1"/>
    <col min="6708" max="6708" width="25" style="3" customWidth="1"/>
    <col min="6709" max="6709" width="6" style="3" customWidth="1"/>
    <col min="6710" max="6913" width="9.140625" style="3"/>
    <col min="6914" max="6914" width="3.7109375" style="3" customWidth="1"/>
    <col min="6915" max="6915" width="2.28515625" style="3" customWidth="1"/>
    <col min="6916" max="6917" width="3.7109375" style="3" customWidth="1"/>
    <col min="6918" max="6918" width="2.28515625" style="3" customWidth="1"/>
    <col min="6919" max="6920" width="3.7109375" style="3" customWidth="1"/>
    <col min="6921" max="6921" width="2.28515625" style="3" customWidth="1"/>
    <col min="6922" max="6924" width="3.7109375" style="3" customWidth="1"/>
    <col min="6925" max="6925" width="2.28515625" style="3" customWidth="1"/>
    <col min="6926" max="6927" width="3.7109375" style="3" customWidth="1"/>
    <col min="6928" max="6928" width="2.28515625" style="3" customWidth="1"/>
    <col min="6929" max="6930" width="3.7109375" style="3" customWidth="1"/>
    <col min="6931" max="6931" width="2.28515625" style="3" customWidth="1"/>
    <col min="6932" max="6933" width="3.7109375" style="3" customWidth="1"/>
    <col min="6934" max="6934" width="2.28515625" style="3" customWidth="1"/>
    <col min="6935" max="6936" width="3.7109375" style="3" customWidth="1"/>
    <col min="6937" max="6937" width="2.28515625" style="3" customWidth="1"/>
    <col min="6938" max="6939" width="3.7109375" style="3" customWidth="1"/>
    <col min="6940" max="6940" width="2.28515625" style="3" customWidth="1"/>
    <col min="6941" max="6942" width="3.7109375" style="3" customWidth="1"/>
    <col min="6943" max="6943" width="2.28515625" style="3" customWidth="1"/>
    <col min="6944" max="6944" width="3.7109375" style="3" customWidth="1"/>
    <col min="6945" max="6945" width="9.7109375" style="3" customWidth="1"/>
    <col min="6946" max="6955" width="3.7109375" style="3" customWidth="1"/>
    <col min="6956" max="6956" width="11" style="3" customWidth="1"/>
    <col min="6957" max="6958" width="9.140625" style="3"/>
    <col min="6959" max="6959" width="24.42578125" style="3" customWidth="1"/>
    <col min="6960" max="6960" width="18.5703125" style="3" customWidth="1"/>
    <col min="6961" max="6961" width="15.140625" style="3" customWidth="1"/>
    <col min="6962" max="6962" width="10.5703125" style="3" customWidth="1"/>
    <col min="6963" max="6963" width="11.140625" style="3" customWidth="1"/>
    <col min="6964" max="6964" width="25" style="3" customWidth="1"/>
    <col min="6965" max="6965" width="6" style="3" customWidth="1"/>
    <col min="6966" max="7169" width="9.140625" style="3"/>
    <col min="7170" max="7170" width="3.7109375" style="3" customWidth="1"/>
    <col min="7171" max="7171" width="2.28515625" style="3" customWidth="1"/>
    <col min="7172" max="7173" width="3.7109375" style="3" customWidth="1"/>
    <col min="7174" max="7174" width="2.28515625" style="3" customWidth="1"/>
    <col min="7175" max="7176" width="3.7109375" style="3" customWidth="1"/>
    <col min="7177" max="7177" width="2.28515625" style="3" customWidth="1"/>
    <col min="7178" max="7180" width="3.7109375" style="3" customWidth="1"/>
    <col min="7181" max="7181" width="2.28515625" style="3" customWidth="1"/>
    <col min="7182" max="7183" width="3.7109375" style="3" customWidth="1"/>
    <col min="7184" max="7184" width="2.28515625" style="3" customWidth="1"/>
    <col min="7185" max="7186" width="3.7109375" style="3" customWidth="1"/>
    <col min="7187" max="7187" width="2.28515625" style="3" customWidth="1"/>
    <col min="7188" max="7189" width="3.7109375" style="3" customWidth="1"/>
    <col min="7190" max="7190" width="2.28515625" style="3" customWidth="1"/>
    <col min="7191" max="7192" width="3.7109375" style="3" customWidth="1"/>
    <col min="7193" max="7193" width="2.28515625" style="3" customWidth="1"/>
    <col min="7194" max="7195" width="3.7109375" style="3" customWidth="1"/>
    <col min="7196" max="7196" width="2.28515625" style="3" customWidth="1"/>
    <col min="7197" max="7198" width="3.7109375" style="3" customWidth="1"/>
    <col min="7199" max="7199" width="2.28515625" style="3" customWidth="1"/>
    <col min="7200" max="7200" width="3.7109375" style="3" customWidth="1"/>
    <col min="7201" max="7201" width="9.7109375" style="3" customWidth="1"/>
    <col min="7202" max="7211" width="3.7109375" style="3" customWidth="1"/>
    <col min="7212" max="7212" width="11" style="3" customWidth="1"/>
    <col min="7213" max="7214" width="9.140625" style="3"/>
    <col min="7215" max="7215" width="24.42578125" style="3" customWidth="1"/>
    <col min="7216" max="7216" width="18.5703125" style="3" customWidth="1"/>
    <col min="7217" max="7217" width="15.140625" style="3" customWidth="1"/>
    <col min="7218" max="7218" width="10.5703125" style="3" customWidth="1"/>
    <col min="7219" max="7219" width="11.140625" style="3" customWidth="1"/>
    <col min="7220" max="7220" width="25" style="3" customWidth="1"/>
    <col min="7221" max="7221" width="6" style="3" customWidth="1"/>
    <col min="7222" max="7425" width="9.140625" style="3"/>
    <col min="7426" max="7426" width="3.7109375" style="3" customWidth="1"/>
    <col min="7427" max="7427" width="2.28515625" style="3" customWidth="1"/>
    <col min="7428" max="7429" width="3.7109375" style="3" customWidth="1"/>
    <col min="7430" max="7430" width="2.28515625" style="3" customWidth="1"/>
    <col min="7431" max="7432" width="3.7109375" style="3" customWidth="1"/>
    <col min="7433" max="7433" width="2.28515625" style="3" customWidth="1"/>
    <col min="7434" max="7436" width="3.7109375" style="3" customWidth="1"/>
    <col min="7437" max="7437" width="2.28515625" style="3" customWidth="1"/>
    <col min="7438" max="7439" width="3.7109375" style="3" customWidth="1"/>
    <col min="7440" max="7440" width="2.28515625" style="3" customWidth="1"/>
    <col min="7441" max="7442" width="3.7109375" style="3" customWidth="1"/>
    <col min="7443" max="7443" width="2.28515625" style="3" customWidth="1"/>
    <col min="7444" max="7445" width="3.7109375" style="3" customWidth="1"/>
    <col min="7446" max="7446" width="2.28515625" style="3" customWidth="1"/>
    <col min="7447" max="7448" width="3.7109375" style="3" customWidth="1"/>
    <col min="7449" max="7449" width="2.28515625" style="3" customWidth="1"/>
    <col min="7450" max="7451" width="3.7109375" style="3" customWidth="1"/>
    <col min="7452" max="7452" width="2.28515625" style="3" customWidth="1"/>
    <col min="7453" max="7454" width="3.7109375" style="3" customWidth="1"/>
    <col min="7455" max="7455" width="2.28515625" style="3" customWidth="1"/>
    <col min="7456" max="7456" width="3.7109375" style="3" customWidth="1"/>
    <col min="7457" max="7457" width="9.7109375" style="3" customWidth="1"/>
    <col min="7458" max="7467" width="3.7109375" style="3" customWidth="1"/>
    <col min="7468" max="7468" width="11" style="3" customWidth="1"/>
    <col min="7469" max="7470" width="9.140625" style="3"/>
    <col min="7471" max="7471" width="24.42578125" style="3" customWidth="1"/>
    <col min="7472" max="7472" width="18.5703125" style="3" customWidth="1"/>
    <col min="7473" max="7473" width="15.140625" style="3" customWidth="1"/>
    <col min="7474" max="7474" width="10.5703125" style="3" customWidth="1"/>
    <col min="7475" max="7475" width="11.140625" style="3" customWidth="1"/>
    <col min="7476" max="7476" width="25" style="3" customWidth="1"/>
    <col min="7477" max="7477" width="6" style="3" customWidth="1"/>
    <col min="7478" max="7681" width="9.140625" style="3"/>
    <col min="7682" max="7682" width="3.7109375" style="3" customWidth="1"/>
    <col min="7683" max="7683" width="2.28515625" style="3" customWidth="1"/>
    <col min="7684" max="7685" width="3.7109375" style="3" customWidth="1"/>
    <col min="7686" max="7686" width="2.28515625" style="3" customWidth="1"/>
    <col min="7687" max="7688" width="3.7109375" style="3" customWidth="1"/>
    <col min="7689" max="7689" width="2.28515625" style="3" customWidth="1"/>
    <col min="7690" max="7692" width="3.7109375" style="3" customWidth="1"/>
    <col min="7693" max="7693" width="2.28515625" style="3" customWidth="1"/>
    <col min="7694" max="7695" width="3.7109375" style="3" customWidth="1"/>
    <col min="7696" max="7696" width="2.28515625" style="3" customWidth="1"/>
    <col min="7697" max="7698" width="3.7109375" style="3" customWidth="1"/>
    <col min="7699" max="7699" width="2.28515625" style="3" customWidth="1"/>
    <col min="7700" max="7701" width="3.7109375" style="3" customWidth="1"/>
    <col min="7702" max="7702" width="2.28515625" style="3" customWidth="1"/>
    <col min="7703" max="7704" width="3.7109375" style="3" customWidth="1"/>
    <col min="7705" max="7705" width="2.28515625" style="3" customWidth="1"/>
    <col min="7706" max="7707" width="3.7109375" style="3" customWidth="1"/>
    <col min="7708" max="7708" width="2.28515625" style="3" customWidth="1"/>
    <col min="7709" max="7710" width="3.7109375" style="3" customWidth="1"/>
    <col min="7711" max="7711" width="2.28515625" style="3" customWidth="1"/>
    <col min="7712" max="7712" width="3.7109375" style="3" customWidth="1"/>
    <col min="7713" max="7713" width="9.7109375" style="3" customWidth="1"/>
    <col min="7714" max="7723" width="3.7109375" style="3" customWidth="1"/>
    <col min="7724" max="7724" width="11" style="3" customWidth="1"/>
    <col min="7725" max="7726" width="9.140625" style="3"/>
    <col min="7727" max="7727" width="24.42578125" style="3" customWidth="1"/>
    <col min="7728" max="7728" width="18.5703125" style="3" customWidth="1"/>
    <col min="7729" max="7729" width="15.140625" style="3" customWidth="1"/>
    <col min="7730" max="7730" width="10.5703125" style="3" customWidth="1"/>
    <col min="7731" max="7731" width="11.140625" style="3" customWidth="1"/>
    <col min="7732" max="7732" width="25" style="3" customWidth="1"/>
    <col min="7733" max="7733" width="6" style="3" customWidth="1"/>
    <col min="7734" max="7937" width="9.140625" style="3"/>
    <col min="7938" max="7938" width="3.7109375" style="3" customWidth="1"/>
    <col min="7939" max="7939" width="2.28515625" style="3" customWidth="1"/>
    <col min="7940" max="7941" width="3.7109375" style="3" customWidth="1"/>
    <col min="7942" max="7942" width="2.28515625" style="3" customWidth="1"/>
    <col min="7943" max="7944" width="3.7109375" style="3" customWidth="1"/>
    <col min="7945" max="7945" width="2.28515625" style="3" customWidth="1"/>
    <col min="7946" max="7948" width="3.7109375" style="3" customWidth="1"/>
    <col min="7949" max="7949" width="2.28515625" style="3" customWidth="1"/>
    <col min="7950" max="7951" width="3.7109375" style="3" customWidth="1"/>
    <col min="7952" max="7952" width="2.28515625" style="3" customWidth="1"/>
    <col min="7953" max="7954" width="3.7109375" style="3" customWidth="1"/>
    <col min="7955" max="7955" width="2.28515625" style="3" customWidth="1"/>
    <col min="7956" max="7957" width="3.7109375" style="3" customWidth="1"/>
    <col min="7958" max="7958" width="2.28515625" style="3" customWidth="1"/>
    <col min="7959" max="7960" width="3.7109375" style="3" customWidth="1"/>
    <col min="7961" max="7961" width="2.28515625" style="3" customWidth="1"/>
    <col min="7962" max="7963" width="3.7109375" style="3" customWidth="1"/>
    <col min="7964" max="7964" width="2.28515625" style="3" customWidth="1"/>
    <col min="7965" max="7966" width="3.7109375" style="3" customWidth="1"/>
    <col min="7967" max="7967" width="2.28515625" style="3" customWidth="1"/>
    <col min="7968" max="7968" width="3.7109375" style="3" customWidth="1"/>
    <col min="7969" max="7969" width="9.7109375" style="3" customWidth="1"/>
    <col min="7970" max="7979" width="3.7109375" style="3" customWidth="1"/>
    <col min="7980" max="7980" width="11" style="3" customWidth="1"/>
    <col min="7981" max="7982" width="9.140625" style="3"/>
    <col min="7983" max="7983" width="24.42578125" style="3" customWidth="1"/>
    <col min="7984" max="7984" width="18.5703125" style="3" customWidth="1"/>
    <col min="7985" max="7985" width="15.140625" style="3" customWidth="1"/>
    <col min="7986" max="7986" width="10.5703125" style="3" customWidth="1"/>
    <col min="7987" max="7987" width="11.140625" style="3" customWidth="1"/>
    <col min="7988" max="7988" width="25" style="3" customWidth="1"/>
    <col min="7989" max="7989" width="6" style="3" customWidth="1"/>
    <col min="7990" max="8193" width="9.140625" style="3"/>
    <col min="8194" max="8194" width="3.7109375" style="3" customWidth="1"/>
    <col min="8195" max="8195" width="2.28515625" style="3" customWidth="1"/>
    <col min="8196" max="8197" width="3.7109375" style="3" customWidth="1"/>
    <col min="8198" max="8198" width="2.28515625" style="3" customWidth="1"/>
    <col min="8199" max="8200" width="3.7109375" style="3" customWidth="1"/>
    <col min="8201" max="8201" width="2.28515625" style="3" customWidth="1"/>
    <col min="8202" max="8204" width="3.7109375" style="3" customWidth="1"/>
    <col min="8205" max="8205" width="2.28515625" style="3" customWidth="1"/>
    <col min="8206" max="8207" width="3.7109375" style="3" customWidth="1"/>
    <col min="8208" max="8208" width="2.28515625" style="3" customWidth="1"/>
    <col min="8209" max="8210" width="3.7109375" style="3" customWidth="1"/>
    <col min="8211" max="8211" width="2.28515625" style="3" customWidth="1"/>
    <col min="8212" max="8213" width="3.7109375" style="3" customWidth="1"/>
    <col min="8214" max="8214" width="2.28515625" style="3" customWidth="1"/>
    <col min="8215" max="8216" width="3.7109375" style="3" customWidth="1"/>
    <col min="8217" max="8217" width="2.28515625" style="3" customWidth="1"/>
    <col min="8218" max="8219" width="3.7109375" style="3" customWidth="1"/>
    <col min="8220" max="8220" width="2.28515625" style="3" customWidth="1"/>
    <col min="8221" max="8222" width="3.7109375" style="3" customWidth="1"/>
    <col min="8223" max="8223" width="2.28515625" style="3" customWidth="1"/>
    <col min="8224" max="8224" width="3.7109375" style="3" customWidth="1"/>
    <col min="8225" max="8225" width="9.7109375" style="3" customWidth="1"/>
    <col min="8226" max="8235" width="3.7109375" style="3" customWidth="1"/>
    <col min="8236" max="8236" width="11" style="3" customWidth="1"/>
    <col min="8237" max="8238" width="9.140625" style="3"/>
    <col min="8239" max="8239" width="24.42578125" style="3" customWidth="1"/>
    <col min="8240" max="8240" width="18.5703125" style="3" customWidth="1"/>
    <col min="8241" max="8241" width="15.140625" style="3" customWidth="1"/>
    <col min="8242" max="8242" width="10.5703125" style="3" customWidth="1"/>
    <col min="8243" max="8243" width="11.140625" style="3" customWidth="1"/>
    <col min="8244" max="8244" width="25" style="3" customWidth="1"/>
    <col min="8245" max="8245" width="6" style="3" customWidth="1"/>
    <col min="8246" max="8449" width="9.140625" style="3"/>
    <col min="8450" max="8450" width="3.7109375" style="3" customWidth="1"/>
    <col min="8451" max="8451" width="2.28515625" style="3" customWidth="1"/>
    <col min="8452" max="8453" width="3.7109375" style="3" customWidth="1"/>
    <col min="8454" max="8454" width="2.28515625" style="3" customWidth="1"/>
    <col min="8455" max="8456" width="3.7109375" style="3" customWidth="1"/>
    <col min="8457" max="8457" width="2.28515625" style="3" customWidth="1"/>
    <col min="8458" max="8460" width="3.7109375" style="3" customWidth="1"/>
    <col min="8461" max="8461" width="2.28515625" style="3" customWidth="1"/>
    <col min="8462" max="8463" width="3.7109375" style="3" customWidth="1"/>
    <col min="8464" max="8464" width="2.28515625" style="3" customWidth="1"/>
    <col min="8465" max="8466" width="3.7109375" style="3" customWidth="1"/>
    <col min="8467" max="8467" width="2.28515625" style="3" customWidth="1"/>
    <col min="8468" max="8469" width="3.7109375" style="3" customWidth="1"/>
    <col min="8470" max="8470" width="2.28515625" style="3" customWidth="1"/>
    <col min="8471" max="8472" width="3.7109375" style="3" customWidth="1"/>
    <col min="8473" max="8473" width="2.28515625" style="3" customWidth="1"/>
    <col min="8474" max="8475" width="3.7109375" style="3" customWidth="1"/>
    <col min="8476" max="8476" width="2.28515625" style="3" customWidth="1"/>
    <col min="8477" max="8478" width="3.7109375" style="3" customWidth="1"/>
    <col min="8479" max="8479" width="2.28515625" style="3" customWidth="1"/>
    <col min="8480" max="8480" width="3.7109375" style="3" customWidth="1"/>
    <col min="8481" max="8481" width="9.7109375" style="3" customWidth="1"/>
    <col min="8482" max="8491" width="3.7109375" style="3" customWidth="1"/>
    <col min="8492" max="8492" width="11" style="3" customWidth="1"/>
    <col min="8493" max="8494" width="9.140625" style="3"/>
    <col min="8495" max="8495" width="24.42578125" style="3" customWidth="1"/>
    <col min="8496" max="8496" width="18.5703125" style="3" customWidth="1"/>
    <col min="8497" max="8497" width="15.140625" style="3" customWidth="1"/>
    <col min="8498" max="8498" width="10.5703125" style="3" customWidth="1"/>
    <col min="8499" max="8499" width="11.140625" style="3" customWidth="1"/>
    <col min="8500" max="8500" width="25" style="3" customWidth="1"/>
    <col min="8501" max="8501" width="6" style="3" customWidth="1"/>
    <col min="8502" max="8705" width="9.140625" style="3"/>
    <col min="8706" max="8706" width="3.7109375" style="3" customWidth="1"/>
    <col min="8707" max="8707" width="2.28515625" style="3" customWidth="1"/>
    <col min="8708" max="8709" width="3.7109375" style="3" customWidth="1"/>
    <col min="8710" max="8710" width="2.28515625" style="3" customWidth="1"/>
    <col min="8711" max="8712" width="3.7109375" style="3" customWidth="1"/>
    <col min="8713" max="8713" width="2.28515625" style="3" customWidth="1"/>
    <col min="8714" max="8716" width="3.7109375" style="3" customWidth="1"/>
    <col min="8717" max="8717" width="2.28515625" style="3" customWidth="1"/>
    <col min="8718" max="8719" width="3.7109375" style="3" customWidth="1"/>
    <col min="8720" max="8720" width="2.28515625" style="3" customWidth="1"/>
    <col min="8721" max="8722" width="3.7109375" style="3" customWidth="1"/>
    <col min="8723" max="8723" width="2.28515625" style="3" customWidth="1"/>
    <col min="8724" max="8725" width="3.7109375" style="3" customWidth="1"/>
    <col min="8726" max="8726" width="2.28515625" style="3" customWidth="1"/>
    <col min="8727" max="8728" width="3.7109375" style="3" customWidth="1"/>
    <col min="8729" max="8729" width="2.28515625" style="3" customWidth="1"/>
    <col min="8730" max="8731" width="3.7109375" style="3" customWidth="1"/>
    <col min="8732" max="8732" width="2.28515625" style="3" customWidth="1"/>
    <col min="8733" max="8734" width="3.7109375" style="3" customWidth="1"/>
    <col min="8735" max="8735" width="2.28515625" style="3" customWidth="1"/>
    <col min="8736" max="8736" width="3.7109375" style="3" customWidth="1"/>
    <col min="8737" max="8737" width="9.7109375" style="3" customWidth="1"/>
    <col min="8738" max="8747" width="3.7109375" style="3" customWidth="1"/>
    <col min="8748" max="8748" width="11" style="3" customWidth="1"/>
    <col min="8749" max="8750" width="9.140625" style="3"/>
    <col min="8751" max="8751" width="24.42578125" style="3" customWidth="1"/>
    <col min="8752" max="8752" width="18.5703125" style="3" customWidth="1"/>
    <col min="8753" max="8753" width="15.140625" style="3" customWidth="1"/>
    <col min="8754" max="8754" width="10.5703125" style="3" customWidth="1"/>
    <col min="8755" max="8755" width="11.140625" style="3" customWidth="1"/>
    <col min="8756" max="8756" width="25" style="3" customWidth="1"/>
    <col min="8757" max="8757" width="6" style="3" customWidth="1"/>
    <col min="8758" max="8961" width="9.140625" style="3"/>
    <col min="8962" max="8962" width="3.7109375" style="3" customWidth="1"/>
    <col min="8963" max="8963" width="2.28515625" style="3" customWidth="1"/>
    <col min="8964" max="8965" width="3.7109375" style="3" customWidth="1"/>
    <col min="8966" max="8966" width="2.28515625" style="3" customWidth="1"/>
    <col min="8967" max="8968" width="3.7109375" style="3" customWidth="1"/>
    <col min="8969" max="8969" width="2.28515625" style="3" customWidth="1"/>
    <col min="8970" max="8972" width="3.7109375" style="3" customWidth="1"/>
    <col min="8973" max="8973" width="2.28515625" style="3" customWidth="1"/>
    <col min="8974" max="8975" width="3.7109375" style="3" customWidth="1"/>
    <col min="8976" max="8976" width="2.28515625" style="3" customWidth="1"/>
    <col min="8977" max="8978" width="3.7109375" style="3" customWidth="1"/>
    <col min="8979" max="8979" width="2.28515625" style="3" customWidth="1"/>
    <col min="8980" max="8981" width="3.7109375" style="3" customWidth="1"/>
    <col min="8982" max="8982" width="2.28515625" style="3" customWidth="1"/>
    <col min="8983" max="8984" width="3.7109375" style="3" customWidth="1"/>
    <col min="8985" max="8985" width="2.28515625" style="3" customWidth="1"/>
    <col min="8986" max="8987" width="3.7109375" style="3" customWidth="1"/>
    <col min="8988" max="8988" width="2.28515625" style="3" customWidth="1"/>
    <col min="8989" max="8990" width="3.7109375" style="3" customWidth="1"/>
    <col min="8991" max="8991" width="2.28515625" style="3" customWidth="1"/>
    <col min="8992" max="8992" width="3.7109375" style="3" customWidth="1"/>
    <col min="8993" max="8993" width="9.7109375" style="3" customWidth="1"/>
    <col min="8994" max="9003" width="3.7109375" style="3" customWidth="1"/>
    <col min="9004" max="9004" width="11" style="3" customWidth="1"/>
    <col min="9005" max="9006" width="9.140625" style="3"/>
    <col min="9007" max="9007" width="24.42578125" style="3" customWidth="1"/>
    <col min="9008" max="9008" width="18.5703125" style="3" customWidth="1"/>
    <col min="9009" max="9009" width="15.140625" style="3" customWidth="1"/>
    <col min="9010" max="9010" width="10.5703125" style="3" customWidth="1"/>
    <col min="9011" max="9011" width="11.140625" style="3" customWidth="1"/>
    <col min="9012" max="9012" width="25" style="3" customWidth="1"/>
    <col min="9013" max="9013" width="6" style="3" customWidth="1"/>
    <col min="9014" max="9217" width="9.140625" style="3"/>
    <col min="9218" max="9218" width="3.7109375" style="3" customWidth="1"/>
    <col min="9219" max="9219" width="2.28515625" style="3" customWidth="1"/>
    <col min="9220" max="9221" width="3.7109375" style="3" customWidth="1"/>
    <col min="9222" max="9222" width="2.28515625" style="3" customWidth="1"/>
    <col min="9223" max="9224" width="3.7109375" style="3" customWidth="1"/>
    <col min="9225" max="9225" width="2.28515625" style="3" customWidth="1"/>
    <col min="9226" max="9228" width="3.7109375" style="3" customWidth="1"/>
    <col min="9229" max="9229" width="2.28515625" style="3" customWidth="1"/>
    <col min="9230" max="9231" width="3.7109375" style="3" customWidth="1"/>
    <col min="9232" max="9232" width="2.28515625" style="3" customWidth="1"/>
    <col min="9233" max="9234" width="3.7109375" style="3" customWidth="1"/>
    <col min="9235" max="9235" width="2.28515625" style="3" customWidth="1"/>
    <col min="9236" max="9237" width="3.7109375" style="3" customWidth="1"/>
    <col min="9238" max="9238" width="2.28515625" style="3" customWidth="1"/>
    <col min="9239" max="9240" width="3.7109375" style="3" customWidth="1"/>
    <col min="9241" max="9241" width="2.28515625" style="3" customWidth="1"/>
    <col min="9242" max="9243" width="3.7109375" style="3" customWidth="1"/>
    <col min="9244" max="9244" width="2.28515625" style="3" customWidth="1"/>
    <col min="9245" max="9246" width="3.7109375" style="3" customWidth="1"/>
    <col min="9247" max="9247" width="2.28515625" style="3" customWidth="1"/>
    <col min="9248" max="9248" width="3.7109375" style="3" customWidth="1"/>
    <col min="9249" max="9249" width="9.7109375" style="3" customWidth="1"/>
    <col min="9250" max="9259" width="3.7109375" style="3" customWidth="1"/>
    <col min="9260" max="9260" width="11" style="3" customWidth="1"/>
    <col min="9261" max="9262" width="9.140625" style="3"/>
    <col min="9263" max="9263" width="24.42578125" style="3" customWidth="1"/>
    <col min="9264" max="9264" width="18.5703125" style="3" customWidth="1"/>
    <col min="9265" max="9265" width="15.140625" style="3" customWidth="1"/>
    <col min="9266" max="9266" width="10.5703125" style="3" customWidth="1"/>
    <col min="9267" max="9267" width="11.140625" style="3" customWidth="1"/>
    <col min="9268" max="9268" width="25" style="3" customWidth="1"/>
    <col min="9269" max="9269" width="6" style="3" customWidth="1"/>
    <col min="9270" max="9473" width="9.140625" style="3"/>
    <col min="9474" max="9474" width="3.7109375" style="3" customWidth="1"/>
    <col min="9475" max="9475" width="2.28515625" style="3" customWidth="1"/>
    <col min="9476" max="9477" width="3.7109375" style="3" customWidth="1"/>
    <col min="9478" max="9478" width="2.28515625" style="3" customWidth="1"/>
    <col min="9479" max="9480" width="3.7109375" style="3" customWidth="1"/>
    <col min="9481" max="9481" width="2.28515625" style="3" customWidth="1"/>
    <col min="9482" max="9484" width="3.7109375" style="3" customWidth="1"/>
    <col min="9485" max="9485" width="2.28515625" style="3" customWidth="1"/>
    <col min="9486" max="9487" width="3.7109375" style="3" customWidth="1"/>
    <col min="9488" max="9488" width="2.28515625" style="3" customWidth="1"/>
    <col min="9489" max="9490" width="3.7109375" style="3" customWidth="1"/>
    <col min="9491" max="9491" width="2.28515625" style="3" customWidth="1"/>
    <col min="9492" max="9493" width="3.7109375" style="3" customWidth="1"/>
    <col min="9494" max="9494" width="2.28515625" style="3" customWidth="1"/>
    <col min="9495" max="9496" width="3.7109375" style="3" customWidth="1"/>
    <col min="9497" max="9497" width="2.28515625" style="3" customWidth="1"/>
    <col min="9498" max="9499" width="3.7109375" style="3" customWidth="1"/>
    <col min="9500" max="9500" width="2.28515625" style="3" customWidth="1"/>
    <col min="9501" max="9502" width="3.7109375" style="3" customWidth="1"/>
    <col min="9503" max="9503" width="2.28515625" style="3" customWidth="1"/>
    <col min="9504" max="9504" width="3.7109375" style="3" customWidth="1"/>
    <col min="9505" max="9505" width="9.7109375" style="3" customWidth="1"/>
    <col min="9506" max="9515" width="3.7109375" style="3" customWidth="1"/>
    <col min="9516" max="9516" width="11" style="3" customWidth="1"/>
    <col min="9517" max="9518" width="9.140625" style="3"/>
    <col min="9519" max="9519" width="24.42578125" style="3" customWidth="1"/>
    <col min="9520" max="9520" width="18.5703125" style="3" customWidth="1"/>
    <col min="9521" max="9521" width="15.140625" style="3" customWidth="1"/>
    <col min="9522" max="9522" width="10.5703125" style="3" customWidth="1"/>
    <col min="9523" max="9523" width="11.140625" style="3" customWidth="1"/>
    <col min="9524" max="9524" width="25" style="3" customWidth="1"/>
    <col min="9525" max="9525" width="6" style="3" customWidth="1"/>
    <col min="9526" max="9729" width="9.140625" style="3"/>
    <col min="9730" max="9730" width="3.7109375" style="3" customWidth="1"/>
    <col min="9731" max="9731" width="2.28515625" style="3" customWidth="1"/>
    <col min="9732" max="9733" width="3.7109375" style="3" customWidth="1"/>
    <col min="9734" max="9734" width="2.28515625" style="3" customWidth="1"/>
    <col min="9735" max="9736" width="3.7109375" style="3" customWidth="1"/>
    <col min="9737" max="9737" width="2.28515625" style="3" customWidth="1"/>
    <col min="9738" max="9740" width="3.7109375" style="3" customWidth="1"/>
    <col min="9741" max="9741" width="2.28515625" style="3" customWidth="1"/>
    <col min="9742" max="9743" width="3.7109375" style="3" customWidth="1"/>
    <col min="9744" max="9744" width="2.28515625" style="3" customWidth="1"/>
    <col min="9745" max="9746" width="3.7109375" style="3" customWidth="1"/>
    <col min="9747" max="9747" width="2.28515625" style="3" customWidth="1"/>
    <col min="9748" max="9749" width="3.7109375" style="3" customWidth="1"/>
    <col min="9750" max="9750" width="2.28515625" style="3" customWidth="1"/>
    <col min="9751" max="9752" width="3.7109375" style="3" customWidth="1"/>
    <col min="9753" max="9753" width="2.28515625" style="3" customWidth="1"/>
    <col min="9754" max="9755" width="3.7109375" style="3" customWidth="1"/>
    <col min="9756" max="9756" width="2.28515625" style="3" customWidth="1"/>
    <col min="9757" max="9758" width="3.7109375" style="3" customWidth="1"/>
    <col min="9759" max="9759" width="2.28515625" style="3" customWidth="1"/>
    <col min="9760" max="9760" width="3.7109375" style="3" customWidth="1"/>
    <col min="9761" max="9761" width="9.7109375" style="3" customWidth="1"/>
    <col min="9762" max="9771" width="3.7109375" style="3" customWidth="1"/>
    <col min="9772" max="9772" width="11" style="3" customWidth="1"/>
    <col min="9773" max="9774" width="9.140625" style="3"/>
    <col min="9775" max="9775" width="24.42578125" style="3" customWidth="1"/>
    <col min="9776" max="9776" width="18.5703125" style="3" customWidth="1"/>
    <col min="9777" max="9777" width="15.140625" style="3" customWidth="1"/>
    <col min="9778" max="9778" width="10.5703125" style="3" customWidth="1"/>
    <col min="9779" max="9779" width="11.140625" style="3" customWidth="1"/>
    <col min="9780" max="9780" width="25" style="3" customWidth="1"/>
    <col min="9781" max="9781" width="6" style="3" customWidth="1"/>
    <col min="9782" max="9985" width="9.140625" style="3"/>
    <col min="9986" max="9986" width="3.7109375" style="3" customWidth="1"/>
    <col min="9987" max="9987" width="2.28515625" style="3" customWidth="1"/>
    <col min="9988" max="9989" width="3.7109375" style="3" customWidth="1"/>
    <col min="9990" max="9990" width="2.28515625" style="3" customWidth="1"/>
    <col min="9991" max="9992" width="3.7109375" style="3" customWidth="1"/>
    <col min="9993" max="9993" width="2.28515625" style="3" customWidth="1"/>
    <col min="9994" max="9996" width="3.7109375" style="3" customWidth="1"/>
    <col min="9997" max="9997" width="2.28515625" style="3" customWidth="1"/>
    <col min="9998" max="9999" width="3.7109375" style="3" customWidth="1"/>
    <col min="10000" max="10000" width="2.28515625" style="3" customWidth="1"/>
    <col min="10001" max="10002" width="3.7109375" style="3" customWidth="1"/>
    <col min="10003" max="10003" width="2.28515625" style="3" customWidth="1"/>
    <col min="10004" max="10005" width="3.7109375" style="3" customWidth="1"/>
    <col min="10006" max="10006" width="2.28515625" style="3" customWidth="1"/>
    <col min="10007" max="10008" width="3.7109375" style="3" customWidth="1"/>
    <col min="10009" max="10009" width="2.28515625" style="3" customWidth="1"/>
    <col min="10010" max="10011" width="3.7109375" style="3" customWidth="1"/>
    <col min="10012" max="10012" width="2.28515625" style="3" customWidth="1"/>
    <col min="10013" max="10014" width="3.7109375" style="3" customWidth="1"/>
    <col min="10015" max="10015" width="2.28515625" style="3" customWidth="1"/>
    <col min="10016" max="10016" width="3.7109375" style="3" customWidth="1"/>
    <col min="10017" max="10017" width="9.7109375" style="3" customWidth="1"/>
    <col min="10018" max="10027" width="3.7109375" style="3" customWidth="1"/>
    <col min="10028" max="10028" width="11" style="3" customWidth="1"/>
    <col min="10029" max="10030" width="9.140625" style="3"/>
    <col min="10031" max="10031" width="24.42578125" style="3" customWidth="1"/>
    <col min="10032" max="10032" width="18.5703125" style="3" customWidth="1"/>
    <col min="10033" max="10033" width="15.140625" style="3" customWidth="1"/>
    <col min="10034" max="10034" width="10.5703125" style="3" customWidth="1"/>
    <col min="10035" max="10035" width="11.140625" style="3" customWidth="1"/>
    <col min="10036" max="10036" width="25" style="3" customWidth="1"/>
    <col min="10037" max="10037" width="6" style="3" customWidth="1"/>
    <col min="10038" max="10241" width="9.140625" style="3"/>
    <col min="10242" max="10242" width="3.7109375" style="3" customWidth="1"/>
    <col min="10243" max="10243" width="2.28515625" style="3" customWidth="1"/>
    <col min="10244" max="10245" width="3.7109375" style="3" customWidth="1"/>
    <col min="10246" max="10246" width="2.28515625" style="3" customWidth="1"/>
    <col min="10247" max="10248" width="3.7109375" style="3" customWidth="1"/>
    <col min="10249" max="10249" width="2.28515625" style="3" customWidth="1"/>
    <col min="10250" max="10252" width="3.7109375" style="3" customWidth="1"/>
    <col min="10253" max="10253" width="2.28515625" style="3" customWidth="1"/>
    <col min="10254" max="10255" width="3.7109375" style="3" customWidth="1"/>
    <col min="10256" max="10256" width="2.28515625" style="3" customWidth="1"/>
    <col min="10257" max="10258" width="3.7109375" style="3" customWidth="1"/>
    <col min="10259" max="10259" width="2.28515625" style="3" customWidth="1"/>
    <col min="10260" max="10261" width="3.7109375" style="3" customWidth="1"/>
    <col min="10262" max="10262" width="2.28515625" style="3" customWidth="1"/>
    <col min="10263" max="10264" width="3.7109375" style="3" customWidth="1"/>
    <col min="10265" max="10265" width="2.28515625" style="3" customWidth="1"/>
    <col min="10266" max="10267" width="3.7109375" style="3" customWidth="1"/>
    <col min="10268" max="10268" width="2.28515625" style="3" customWidth="1"/>
    <col min="10269" max="10270" width="3.7109375" style="3" customWidth="1"/>
    <col min="10271" max="10271" width="2.28515625" style="3" customWidth="1"/>
    <col min="10272" max="10272" width="3.7109375" style="3" customWidth="1"/>
    <col min="10273" max="10273" width="9.7109375" style="3" customWidth="1"/>
    <col min="10274" max="10283" width="3.7109375" style="3" customWidth="1"/>
    <col min="10284" max="10284" width="11" style="3" customWidth="1"/>
    <col min="10285" max="10286" width="9.140625" style="3"/>
    <col min="10287" max="10287" width="24.42578125" style="3" customWidth="1"/>
    <col min="10288" max="10288" width="18.5703125" style="3" customWidth="1"/>
    <col min="10289" max="10289" width="15.140625" style="3" customWidth="1"/>
    <col min="10290" max="10290" width="10.5703125" style="3" customWidth="1"/>
    <col min="10291" max="10291" width="11.140625" style="3" customWidth="1"/>
    <col min="10292" max="10292" width="25" style="3" customWidth="1"/>
    <col min="10293" max="10293" width="6" style="3" customWidth="1"/>
    <col min="10294" max="10497" width="9.140625" style="3"/>
    <col min="10498" max="10498" width="3.7109375" style="3" customWidth="1"/>
    <col min="10499" max="10499" width="2.28515625" style="3" customWidth="1"/>
    <col min="10500" max="10501" width="3.7109375" style="3" customWidth="1"/>
    <col min="10502" max="10502" width="2.28515625" style="3" customWidth="1"/>
    <col min="10503" max="10504" width="3.7109375" style="3" customWidth="1"/>
    <col min="10505" max="10505" width="2.28515625" style="3" customWidth="1"/>
    <col min="10506" max="10508" width="3.7109375" style="3" customWidth="1"/>
    <col min="10509" max="10509" width="2.28515625" style="3" customWidth="1"/>
    <col min="10510" max="10511" width="3.7109375" style="3" customWidth="1"/>
    <col min="10512" max="10512" width="2.28515625" style="3" customWidth="1"/>
    <col min="10513" max="10514" width="3.7109375" style="3" customWidth="1"/>
    <col min="10515" max="10515" width="2.28515625" style="3" customWidth="1"/>
    <col min="10516" max="10517" width="3.7109375" style="3" customWidth="1"/>
    <col min="10518" max="10518" width="2.28515625" style="3" customWidth="1"/>
    <col min="10519" max="10520" width="3.7109375" style="3" customWidth="1"/>
    <col min="10521" max="10521" width="2.28515625" style="3" customWidth="1"/>
    <col min="10522" max="10523" width="3.7109375" style="3" customWidth="1"/>
    <col min="10524" max="10524" width="2.28515625" style="3" customWidth="1"/>
    <col min="10525" max="10526" width="3.7109375" style="3" customWidth="1"/>
    <col min="10527" max="10527" width="2.28515625" style="3" customWidth="1"/>
    <col min="10528" max="10528" width="3.7109375" style="3" customWidth="1"/>
    <col min="10529" max="10529" width="9.7109375" style="3" customWidth="1"/>
    <col min="10530" max="10539" width="3.7109375" style="3" customWidth="1"/>
    <col min="10540" max="10540" width="11" style="3" customWidth="1"/>
    <col min="10541" max="10542" width="9.140625" style="3"/>
    <col min="10543" max="10543" width="24.42578125" style="3" customWidth="1"/>
    <col min="10544" max="10544" width="18.5703125" style="3" customWidth="1"/>
    <col min="10545" max="10545" width="15.140625" style="3" customWidth="1"/>
    <col min="10546" max="10546" width="10.5703125" style="3" customWidth="1"/>
    <col min="10547" max="10547" width="11.140625" style="3" customWidth="1"/>
    <col min="10548" max="10548" width="25" style="3" customWidth="1"/>
    <col min="10549" max="10549" width="6" style="3" customWidth="1"/>
    <col min="10550" max="10753" width="9.140625" style="3"/>
    <col min="10754" max="10754" width="3.7109375" style="3" customWidth="1"/>
    <col min="10755" max="10755" width="2.28515625" style="3" customWidth="1"/>
    <col min="10756" max="10757" width="3.7109375" style="3" customWidth="1"/>
    <col min="10758" max="10758" width="2.28515625" style="3" customWidth="1"/>
    <col min="10759" max="10760" width="3.7109375" style="3" customWidth="1"/>
    <col min="10761" max="10761" width="2.28515625" style="3" customWidth="1"/>
    <col min="10762" max="10764" width="3.7109375" style="3" customWidth="1"/>
    <col min="10765" max="10765" width="2.28515625" style="3" customWidth="1"/>
    <col min="10766" max="10767" width="3.7109375" style="3" customWidth="1"/>
    <col min="10768" max="10768" width="2.28515625" style="3" customWidth="1"/>
    <col min="10769" max="10770" width="3.7109375" style="3" customWidth="1"/>
    <col min="10771" max="10771" width="2.28515625" style="3" customWidth="1"/>
    <col min="10772" max="10773" width="3.7109375" style="3" customWidth="1"/>
    <col min="10774" max="10774" width="2.28515625" style="3" customWidth="1"/>
    <col min="10775" max="10776" width="3.7109375" style="3" customWidth="1"/>
    <col min="10777" max="10777" width="2.28515625" style="3" customWidth="1"/>
    <col min="10778" max="10779" width="3.7109375" style="3" customWidth="1"/>
    <col min="10780" max="10780" width="2.28515625" style="3" customWidth="1"/>
    <col min="10781" max="10782" width="3.7109375" style="3" customWidth="1"/>
    <col min="10783" max="10783" width="2.28515625" style="3" customWidth="1"/>
    <col min="10784" max="10784" width="3.7109375" style="3" customWidth="1"/>
    <col min="10785" max="10785" width="9.7109375" style="3" customWidth="1"/>
    <col min="10786" max="10795" width="3.7109375" style="3" customWidth="1"/>
    <col min="10796" max="10796" width="11" style="3" customWidth="1"/>
    <col min="10797" max="10798" width="9.140625" style="3"/>
    <col min="10799" max="10799" width="24.42578125" style="3" customWidth="1"/>
    <col min="10800" max="10800" width="18.5703125" style="3" customWidth="1"/>
    <col min="10801" max="10801" width="15.140625" style="3" customWidth="1"/>
    <col min="10802" max="10802" width="10.5703125" style="3" customWidth="1"/>
    <col min="10803" max="10803" width="11.140625" style="3" customWidth="1"/>
    <col min="10804" max="10804" width="25" style="3" customWidth="1"/>
    <col min="10805" max="10805" width="6" style="3" customWidth="1"/>
    <col min="10806" max="11009" width="9.140625" style="3"/>
    <col min="11010" max="11010" width="3.7109375" style="3" customWidth="1"/>
    <col min="11011" max="11011" width="2.28515625" style="3" customWidth="1"/>
    <col min="11012" max="11013" width="3.7109375" style="3" customWidth="1"/>
    <col min="11014" max="11014" width="2.28515625" style="3" customWidth="1"/>
    <col min="11015" max="11016" width="3.7109375" style="3" customWidth="1"/>
    <col min="11017" max="11017" width="2.28515625" style="3" customWidth="1"/>
    <col min="11018" max="11020" width="3.7109375" style="3" customWidth="1"/>
    <col min="11021" max="11021" width="2.28515625" style="3" customWidth="1"/>
    <col min="11022" max="11023" width="3.7109375" style="3" customWidth="1"/>
    <col min="11024" max="11024" width="2.28515625" style="3" customWidth="1"/>
    <col min="11025" max="11026" width="3.7109375" style="3" customWidth="1"/>
    <col min="11027" max="11027" width="2.28515625" style="3" customWidth="1"/>
    <col min="11028" max="11029" width="3.7109375" style="3" customWidth="1"/>
    <col min="11030" max="11030" width="2.28515625" style="3" customWidth="1"/>
    <col min="11031" max="11032" width="3.7109375" style="3" customWidth="1"/>
    <col min="11033" max="11033" width="2.28515625" style="3" customWidth="1"/>
    <col min="11034" max="11035" width="3.7109375" style="3" customWidth="1"/>
    <col min="11036" max="11036" width="2.28515625" style="3" customWidth="1"/>
    <col min="11037" max="11038" width="3.7109375" style="3" customWidth="1"/>
    <col min="11039" max="11039" width="2.28515625" style="3" customWidth="1"/>
    <col min="11040" max="11040" width="3.7109375" style="3" customWidth="1"/>
    <col min="11041" max="11041" width="9.7109375" style="3" customWidth="1"/>
    <col min="11042" max="11051" width="3.7109375" style="3" customWidth="1"/>
    <col min="11052" max="11052" width="11" style="3" customWidth="1"/>
    <col min="11053" max="11054" width="9.140625" style="3"/>
    <col min="11055" max="11055" width="24.42578125" style="3" customWidth="1"/>
    <col min="11056" max="11056" width="18.5703125" style="3" customWidth="1"/>
    <col min="11057" max="11057" width="15.140625" style="3" customWidth="1"/>
    <col min="11058" max="11058" width="10.5703125" style="3" customWidth="1"/>
    <col min="11059" max="11059" width="11.140625" style="3" customWidth="1"/>
    <col min="11060" max="11060" width="25" style="3" customWidth="1"/>
    <col min="11061" max="11061" width="6" style="3" customWidth="1"/>
    <col min="11062" max="11265" width="9.140625" style="3"/>
    <col min="11266" max="11266" width="3.7109375" style="3" customWidth="1"/>
    <col min="11267" max="11267" width="2.28515625" style="3" customWidth="1"/>
    <col min="11268" max="11269" width="3.7109375" style="3" customWidth="1"/>
    <col min="11270" max="11270" width="2.28515625" style="3" customWidth="1"/>
    <col min="11271" max="11272" width="3.7109375" style="3" customWidth="1"/>
    <col min="11273" max="11273" width="2.28515625" style="3" customWidth="1"/>
    <col min="11274" max="11276" width="3.7109375" style="3" customWidth="1"/>
    <col min="11277" max="11277" width="2.28515625" style="3" customWidth="1"/>
    <col min="11278" max="11279" width="3.7109375" style="3" customWidth="1"/>
    <col min="11280" max="11280" width="2.28515625" style="3" customWidth="1"/>
    <col min="11281" max="11282" width="3.7109375" style="3" customWidth="1"/>
    <col min="11283" max="11283" width="2.28515625" style="3" customWidth="1"/>
    <col min="11284" max="11285" width="3.7109375" style="3" customWidth="1"/>
    <col min="11286" max="11286" width="2.28515625" style="3" customWidth="1"/>
    <col min="11287" max="11288" width="3.7109375" style="3" customWidth="1"/>
    <col min="11289" max="11289" width="2.28515625" style="3" customWidth="1"/>
    <col min="11290" max="11291" width="3.7109375" style="3" customWidth="1"/>
    <col min="11292" max="11292" width="2.28515625" style="3" customWidth="1"/>
    <col min="11293" max="11294" width="3.7109375" style="3" customWidth="1"/>
    <col min="11295" max="11295" width="2.28515625" style="3" customWidth="1"/>
    <col min="11296" max="11296" width="3.7109375" style="3" customWidth="1"/>
    <col min="11297" max="11297" width="9.7109375" style="3" customWidth="1"/>
    <col min="11298" max="11307" width="3.7109375" style="3" customWidth="1"/>
    <col min="11308" max="11308" width="11" style="3" customWidth="1"/>
    <col min="11309" max="11310" width="9.140625" style="3"/>
    <col min="11311" max="11311" width="24.42578125" style="3" customWidth="1"/>
    <col min="11312" max="11312" width="18.5703125" style="3" customWidth="1"/>
    <col min="11313" max="11313" width="15.140625" style="3" customWidth="1"/>
    <col min="11314" max="11314" width="10.5703125" style="3" customWidth="1"/>
    <col min="11315" max="11315" width="11.140625" style="3" customWidth="1"/>
    <col min="11316" max="11316" width="25" style="3" customWidth="1"/>
    <col min="11317" max="11317" width="6" style="3" customWidth="1"/>
    <col min="11318" max="11521" width="9.140625" style="3"/>
    <col min="11522" max="11522" width="3.7109375" style="3" customWidth="1"/>
    <col min="11523" max="11523" width="2.28515625" style="3" customWidth="1"/>
    <col min="11524" max="11525" width="3.7109375" style="3" customWidth="1"/>
    <col min="11526" max="11526" width="2.28515625" style="3" customWidth="1"/>
    <col min="11527" max="11528" width="3.7109375" style="3" customWidth="1"/>
    <col min="11529" max="11529" width="2.28515625" style="3" customWidth="1"/>
    <col min="11530" max="11532" width="3.7109375" style="3" customWidth="1"/>
    <col min="11533" max="11533" width="2.28515625" style="3" customWidth="1"/>
    <col min="11534" max="11535" width="3.7109375" style="3" customWidth="1"/>
    <col min="11536" max="11536" width="2.28515625" style="3" customWidth="1"/>
    <col min="11537" max="11538" width="3.7109375" style="3" customWidth="1"/>
    <col min="11539" max="11539" width="2.28515625" style="3" customWidth="1"/>
    <col min="11540" max="11541" width="3.7109375" style="3" customWidth="1"/>
    <col min="11542" max="11542" width="2.28515625" style="3" customWidth="1"/>
    <col min="11543" max="11544" width="3.7109375" style="3" customWidth="1"/>
    <col min="11545" max="11545" width="2.28515625" style="3" customWidth="1"/>
    <col min="11546" max="11547" width="3.7109375" style="3" customWidth="1"/>
    <col min="11548" max="11548" width="2.28515625" style="3" customWidth="1"/>
    <col min="11549" max="11550" width="3.7109375" style="3" customWidth="1"/>
    <col min="11551" max="11551" width="2.28515625" style="3" customWidth="1"/>
    <col min="11552" max="11552" width="3.7109375" style="3" customWidth="1"/>
    <col min="11553" max="11553" width="9.7109375" style="3" customWidth="1"/>
    <col min="11554" max="11563" width="3.7109375" style="3" customWidth="1"/>
    <col min="11564" max="11564" width="11" style="3" customWidth="1"/>
    <col min="11565" max="11566" width="9.140625" style="3"/>
    <col min="11567" max="11567" width="24.42578125" style="3" customWidth="1"/>
    <col min="11568" max="11568" width="18.5703125" style="3" customWidth="1"/>
    <col min="11569" max="11569" width="15.140625" style="3" customWidth="1"/>
    <col min="11570" max="11570" width="10.5703125" style="3" customWidth="1"/>
    <col min="11571" max="11571" width="11.140625" style="3" customWidth="1"/>
    <col min="11572" max="11572" width="25" style="3" customWidth="1"/>
    <col min="11573" max="11573" width="6" style="3" customWidth="1"/>
    <col min="11574" max="11777" width="9.140625" style="3"/>
    <col min="11778" max="11778" width="3.7109375" style="3" customWidth="1"/>
    <col min="11779" max="11779" width="2.28515625" style="3" customWidth="1"/>
    <col min="11780" max="11781" width="3.7109375" style="3" customWidth="1"/>
    <col min="11782" max="11782" width="2.28515625" style="3" customWidth="1"/>
    <col min="11783" max="11784" width="3.7109375" style="3" customWidth="1"/>
    <col min="11785" max="11785" width="2.28515625" style="3" customWidth="1"/>
    <col min="11786" max="11788" width="3.7109375" style="3" customWidth="1"/>
    <col min="11789" max="11789" width="2.28515625" style="3" customWidth="1"/>
    <col min="11790" max="11791" width="3.7109375" style="3" customWidth="1"/>
    <col min="11792" max="11792" width="2.28515625" style="3" customWidth="1"/>
    <col min="11793" max="11794" width="3.7109375" style="3" customWidth="1"/>
    <col min="11795" max="11795" width="2.28515625" style="3" customWidth="1"/>
    <col min="11796" max="11797" width="3.7109375" style="3" customWidth="1"/>
    <col min="11798" max="11798" width="2.28515625" style="3" customWidth="1"/>
    <col min="11799" max="11800" width="3.7109375" style="3" customWidth="1"/>
    <col min="11801" max="11801" width="2.28515625" style="3" customWidth="1"/>
    <col min="11802" max="11803" width="3.7109375" style="3" customWidth="1"/>
    <col min="11804" max="11804" width="2.28515625" style="3" customWidth="1"/>
    <col min="11805" max="11806" width="3.7109375" style="3" customWidth="1"/>
    <col min="11807" max="11807" width="2.28515625" style="3" customWidth="1"/>
    <col min="11808" max="11808" width="3.7109375" style="3" customWidth="1"/>
    <col min="11809" max="11809" width="9.7109375" style="3" customWidth="1"/>
    <col min="11810" max="11819" width="3.7109375" style="3" customWidth="1"/>
    <col min="11820" max="11820" width="11" style="3" customWidth="1"/>
    <col min="11821" max="11822" width="9.140625" style="3"/>
    <col min="11823" max="11823" width="24.42578125" style="3" customWidth="1"/>
    <col min="11824" max="11824" width="18.5703125" style="3" customWidth="1"/>
    <col min="11825" max="11825" width="15.140625" style="3" customWidth="1"/>
    <col min="11826" max="11826" width="10.5703125" style="3" customWidth="1"/>
    <col min="11827" max="11827" width="11.140625" style="3" customWidth="1"/>
    <col min="11828" max="11828" width="25" style="3" customWidth="1"/>
    <col min="11829" max="11829" width="6" style="3" customWidth="1"/>
    <col min="11830" max="12033" width="9.140625" style="3"/>
    <col min="12034" max="12034" width="3.7109375" style="3" customWidth="1"/>
    <col min="12035" max="12035" width="2.28515625" style="3" customWidth="1"/>
    <col min="12036" max="12037" width="3.7109375" style="3" customWidth="1"/>
    <col min="12038" max="12038" width="2.28515625" style="3" customWidth="1"/>
    <col min="12039" max="12040" width="3.7109375" style="3" customWidth="1"/>
    <col min="12041" max="12041" width="2.28515625" style="3" customWidth="1"/>
    <col min="12042" max="12044" width="3.7109375" style="3" customWidth="1"/>
    <col min="12045" max="12045" width="2.28515625" style="3" customWidth="1"/>
    <col min="12046" max="12047" width="3.7109375" style="3" customWidth="1"/>
    <col min="12048" max="12048" width="2.28515625" style="3" customWidth="1"/>
    <col min="12049" max="12050" width="3.7109375" style="3" customWidth="1"/>
    <col min="12051" max="12051" width="2.28515625" style="3" customWidth="1"/>
    <col min="12052" max="12053" width="3.7109375" style="3" customWidth="1"/>
    <col min="12054" max="12054" width="2.28515625" style="3" customWidth="1"/>
    <col min="12055" max="12056" width="3.7109375" style="3" customWidth="1"/>
    <col min="12057" max="12057" width="2.28515625" style="3" customWidth="1"/>
    <col min="12058" max="12059" width="3.7109375" style="3" customWidth="1"/>
    <col min="12060" max="12060" width="2.28515625" style="3" customWidth="1"/>
    <col min="12061" max="12062" width="3.7109375" style="3" customWidth="1"/>
    <col min="12063" max="12063" width="2.28515625" style="3" customWidth="1"/>
    <col min="12064" max="12064" width="3.7109375" style="3" customWidth="1"/>
    <col min="12065" max="12065" width="9.7109375" style="3" customWidth="1"/>
    <col min="12066" max="12075" width="3.7109375" style="3" customWidth="1"/>
    <col min="12076" max="12076" width="11" style="3" customWidth="1"/>
    <col min="12077" max="12078" width="9.140625" style="3"/>
    <col min="12079" max="12079" width="24.42578125" style="3" customWidth="1"/>
    <col min="12080" max="12080" width="18.5703125" style="3" customWidth="1"/>
    <col min="12081" max="12081" width="15.140625" style="3" customWidth="1"/>
    <col min="12082" max="12082" width="10.5703125" style="3" customWidth="1"/>
    <col min="12083" max="12083" width="11.140625" style="3" customWidth="1"/>
    <col min="12084" max="12084" width="25" style="3" customWidth="1"/>
    <col min="12085" max="12085" width="6" style="3" customWidth="1"/>
    <col min="12086" max="12289" width="9.140625" style="3"/>
    <col min="12290" max="12290" width="3.7109375" style="3" customWidth="1"/>
    <col min="12291" max="12291" width="2.28515625" style="3" customWidth="1"/>
    <col min="12292" max="12293" width="3.7109375" style="3" customWidth="1"/>
    <col min="12294" max="12294" width="2.28515625" style="3" customWidth="1"/>
    <col min="12295" max="12296" width="3.7109375" style="3" customWidth="1"/>
    <col min="12297" max="12297" width="2.28515625" style="3" customWidth="1"/>
    <col min="12298" max="12300" width="3.7109375" style="3" customWidth="1"/>
    <col min="12301" max="12301" width="2.28515625" style="3" customWidth="1"/>
    <col min="12302" max="12303" width="3.7109375" style="3" customWidth="1"/>
    <col min="12304" max="12304" width="2.28515625" style="3" customWidth="1"/>
    <col min="12305" max="12306" width="3.7109375" style="3" customWidth="1"/>
    <col min="12307" max="12307" width="2.28515625" style="3" customWidth="1"/>
    <col min="12308" max="12309" width="3.7109375" style="3" customWidth="1"/>
    <col min="12310" max="12310" width="2.28515625" style="3" customWidth="1"/>
    <col min="12311" max="12312" width="3.7109375" style="3" customWidth="1"/>
    <col min="12313" max="12313" width="2.28515625" style="3" customWidth="1"/>
    <col min="12314" max="12315" width="3.7109375" style="3" customWidth="1"/>
    <col min="12316" max="12316" width="2.28515625" style="3" customWidth="1"/>
    <col min="12317" max="12318" width="3.7109375" style="3" customWidth="1"/>
    <col min="12319" max="12319" width="2.28515625" style="3" customWidth="1"/>
    <col min="12320" max="12320" width="3.7109375" style="3" customWidth="1"/>
    <col min="12321" max="12321" width="9.7109375" style="3" customWidth="1"/>
    <col min="12322" max="12331" width="3.7109375" style="3" customWidth="1"/>
    <col min="12332" max="12332" width="11" style="3" customWidth="1"/>
    <col min="12333" max="12334" width="9.140625" style="3"/>
    <col min="12335" max="12335" width="24.42578125" style="3" customWidth="1"/>
    <col min="12336" max="12336" width="18.5703125" style="3" customWidth="1"/>
    <col min="12337" max="12337" width="15.140625" style="3" customWidth="1"/>
    <col min="12338" max="12338" width="10.5703125" style="3" customWidth="1"/>
    <col min="12339" max="12339" width="11.140625" style="3" customWidth="1"/>
    <col min="12340" max="12340" width="25" style="3" customWidth="1"/>
    <col min="12341" max="12341" width="6" style="3" customWidth="1"/>
    <col min="12342" max="12545" width="9.140625" style="3"/>
    <col min="12546" max="12546" width="3.7109375" style="3" customWidth="1"/>
    <col min="12547" max="12547" width="2.28515625" style="3" customWidth="1"/>
    <col min="12548" max="12549" width="3.7109375" style="3" customWidth="1"/>
    <col min="12550" max="12550" width="2.28515625" style="3" customWidth="1"/>
    <col min="12551" max="12552" width="3.7109375" style="3" customWidth="1"/>
    <col min="12553" max="12553" width="2.28515625" style="3" customWidth="1"/>
    <col min="12554" max="12556" width="3.7109375" style="3" customWidth="1"/>
    <col min="12557" max="12557" width="2.28515625" style="3" customWidth="1"/>
    <col min="12558" max="12559" width="3.7109375" style="3" customWidth="1"/>
    <col min="12560" max="12560" width="2.28515625" style="3" customWidth="1"/>
    <col min="12561" max="12562" width="3.7109375" style="3" customWidth="1"/>
    <col min="12563" max="12563" width="2.28515625" style="3" customWidth="1"/>
    <col min="12564" max="12565" width="3.7109375" style="3" customWidth="1"/>
    <col min="12566" max="12566" width="2.28515625" style="3" customWidth="1"/>
    <col min="12567" max="12568" width="3.7109375" style="3" customWidth="1"/>
    <col min="12569" max="12569" width="2.28515625" style="3" customWidth="1"/>
    <col min="12570" max="12571" width="3.7109375" style="3" customWidth="1"/>
    <col min="12572" max="12572" width="2.28515625" style="3" customWidth="1"/>
    <col min="12573" max="12574" width="3.7109375" style="3" customWidth="1"/>
    <col min="12575" max="12575" width="2.28515625" style="3" customWidth="1"/>
    <col min="12576" max="12576" width="3.7109375" style="3" customWidth="1"/>
    <col min="12577" max="12577" width="9.7109375" style="3" customWidth="1"/>
    <col min="12578" max="12587" width="3.7109375" style="3" customWidth="1"/>
    <col min="12588" max="12588" width="11" style="3" customWidth="1"/>
    <col min="12589" max="12590" width="9.140625" style="3"/>
    <col min="12591" max="12591" width="24.42578125" style="3" customWidth="1"/>
    <col min="12592" max="12592" width="18.5703125" style="3" customWidth="1"/>
    <col min="12593" max="12593" width="15.140625" style="3" customWidth="1"/>
    <col min="12594" max="12594" width="10.5703125" style="3" customWidth="1"/>
    <col min="12595" max="12595" width="11.140625" style="3" customWidth="1"/>
    <col min="12596" max="12596" width="25" style="3" customWidth="1"/>
    <col min="12597" max="12597" width="6" style="3" customWidth="1"/>
    <col min="12598" max="12801" width="9.140625" style="3"/>
    <col min="12802" max="12802" width="3.7109375" style="3" customWidth="1"/>
    <col min="12803" max="12803" width="2.28515625" style="3" customWidth="1"/>
    <col min="12804" max="12805" width="3.7109375" style="3" customWidth="1"/>
    <col min="12806" max="12806" width="2.28515625" style="3" customWidth="1"/>
    <col min="12807" max="12808" width="3.7109375" style="3" customWidth="1"/>
    <col min="12809" max="12809" width="2.28515625" style="3" customWidth="1"/>
    <col min="12810" max="12812" width="3.7109375" style="3" customWidth="1"/>
    <col min="12813" max="12813" width="2.28515625" style="3" customWidth="1"/>
    <col min="12814" max="12815" width="3.7109375" style="3" customWidth="1"/>
    <col min="12816" max="12816" width="2.28515625" style="3" customWidth="1"/>
    <col min="12817" max="12818" width="3.7109375" style="3" customWidth="1"/>
    <col min="12819" max="12819" width="2.28515625" style="3" customWidth="1"/>
    <col min="12820" max="12821" width="3.7109375" style="3" customWidth="1"/>
    <col min="12822" max="12822" width="2.28515625" style="3" customWidth="1"/>
    <col min="12823" max="12824" width="3.7109375" style="3" customWidth="1"/>
    <col min="12825" max="12825" width="2.28515625" style="3" customWidth="1"/>
    <col min="12826" max="12827" width="3.7109375" style="3" customWidth="1"/>
    <col min="12828" max="12828" width="2.28515625" style="3" customWidth="1"/>
    <col min="12829" max="12830" width="3.7109375" style="3" customWidth="1"/>
    <col min="12831" max="12831" width="2.28515625" style="3" customWidth="1"/>
    <col min="12832" max="12832" width="3.7109375" style="3" customWidth="1"/>
    <col min="12833" max="12833" width="9.7109375" style="3" customWidth="1"/>
    <col min="12834" max="12843" width="3.7109375" style="3" customWidth="1"/>
    <col min="12844" max="12844" width="11" style="3" customWidth="1"/>
    <col min="12845" max="12846" width="9.140625" style="3"/>
    <col min="12847" max="12847" width="24.42578125" style="3" customWidth="1"/>
    <col min="12848" max="12848" width="18.5703125" style="3" customWidth="1"/>
    <col min="12849" max="12849" width="15.140625" style="3" customWidth="1"/>
    <col min="12850" max="12850" width="10.5703125" style="3" customWidth="1"/>
    <col min="12851" max="12851" width="11.140625" style="3" customWidth="1"/>
    <col min="12852" max="12852" width="25" style="3" customWidth="1"/>
    <col min="12853" max="12853" width="6" style="3" customWidth="1"/>
    <col min="12854" max="13057" width="9.140625" style="3"/>
    <col min="13058" max="13058" width="3.7109375" style="3" customWidth="1"/>
    <col min="13059" max="13059" width="2.28515625" style="3" customWidth="1"/>
    <col min="13060" max="13061" width="3.7109375" style="3" customWidth="1"/>
    <col min="13062" max="13062" width="2.28515625" style="3" customWidth="1"/>
    <col min="13063" max="13064" width="3.7109375" style="3" customWidth="1"/>
    <col min="13065" max="13065" width="2.28515625" style="3" customWidth="1"/>
    <col min="13066" max="13068" width="3.7109375" style="3" customWidth="1"/>
    <col min="13069" max="13069" width="2.28515625" style="3" customWidth="1"/>
    <col min="13070" max="13071" width="3.7109375" style="3" customWidth="1"/>
    <col min="13072" max="13072" width="2.28515625" style="3" customWidth="1"/>
    <col min="13073" max="13074" width="3.7109375" style="3" customWidth="1"/>
    <col min="13075" max="13075" width="2.28515625" style="3" customWidth="1"/>
    <col min="13076" max="13077" width="3.7109375" style="3" customWidth="1"/>
    <col min="13078" max="13078" width="2.28515625" style="3" customWidth="1"/>
    <col min="13079" max="13080" width="3.7109375" style="3" customWidth="1"/>
    <col min="13081" max="13081" width="2.28515625" style="3" customWidth="1"/>
    <col min="13082" max="13083" width="3.7109375" style="3" customWidth="1"/>
    <col min="13084" max="13084" width="2.28515625" style="3" customWidth="1"/>
    <col min="13085" max="13086" width="3.7109375" style="3" customWidth="1"/>
    <col min="13087" max="13087" width="2.28515625" style="3" customWidth="1"/>
    <col min="13088" max="13088" width="3.7109375" style="3" customWidth="1"/>
    <col min="13089" max="13089" width="9.7109375" style="3" customWidth="1"/>
    <col min="13090" max="13099" width="3.7109375" style="3" customWidth="1"/>
    <col min="13100" max="13100" width="11" style="3" customWidth="1"/>
    <col min="13101" max="13102" width="9.140625" style="3"/>
    <col min="13103" max="13103" width="24.42578125" style="3" customWidth="1"/>
    <col min="13104" max="13104" width="18.5703125" style="3" customWidth="1"/>
    <col min="13105" max="13105" width="15.140625" style="3" customWidth="1"/>
    <col min="13106" max="13106" width="10.5703125" style="3" customWidth="1"/>
    <col min="13107" max="13107" width="11.140625" style="3" customWidth="1"/>
    <col min="13108" max="13108" width="25" style="3" customWidth="1"/>
    <col min="13109" max="13109" width="6" style="3" customWidth="1"/>
    <col min="13110" max="13313" width="9.140625" style="3"/>
    <col min="13314" max="13314" width="3.7109375" style="3" customWidth="1"/>
    <col min="13315" max="13315" width="2.28515625" style="3" customWidth="1"/>
    <col min="13316" max="13317" width="3.7109375" style="3" customWidth="1"/>
    <col min="13318" max="13318" width="2.28515625" style="3" customWidth="1"/>
    <col min="13319" max="13320" width="3.7109375" style="3" customWidth="1"/>
    <col min="13321" max="13321" width="2.28515625" style="3" customWidth="1"/>
    <col min="13322" max="13324" width="3.7109375" style="3" customWidth="1"/>
    <col min="13325" max="13325" width="2.28515625" style="3" customWidth="1"/>
    <col min="13326" max="13327" width="3.7109375" style="3" customWidth="1"/>
    <col min="13328" max="13328" width="2.28515625" style="3" customWidth="1"/>
    <col min="13329" max="13330" width="3.7109375" style="3" customWidth="1"/>
    <col min="13331" max="13331" width="2.28515625" style="3" customWidth="1"/>
    <col min="13332" max="13333" width="3.7109375" style="3" customWidth="1"/>
    <col min="13334" max="13334" width="2.28515625" style="3" customWidth="1"/>
    <col min="13335" max="13336" width="3.7109375" style="3" customWidth="1"/>
    <col min="13337" max="13337" width="2.28515625" style="3" customWidth="1"/>
    <col min="13338" max="13339" width="3.7109375" style="3" customWidth="1"/>
    <col min="13340" max="13340" width="2.28515625" style="3" customWidth="1"/>
    <col min="13341" max="13342" width="3.7109375" style="3" customWidth="1"/>
    <col min="13343" max="13343" width="2.28515625" style="3" customWidth="1"/>
    <col min="13344" max="13344" width="3.7109375" style="3" customWidth="1"/>
    <col min="13345" max="13345" width="9.7109375" style="3" customWidth="1"/>
    <col min="13346" max="13355" width="3.7109375" style="3" customWidth="1"/>
    <col min="13356" max="13356" width="11" style="3" customWidth="1"/>
    <col min="13357" max="13358" width="9.140625" style="3"/>
    <col min="13359" max="13359" width="24.42578125" style="3" customWidth="1"/>
    <col min="13360" max="13360" width="18.5703125" style="3" customWidth="1"/>
    <col min="13361" max="13361" width="15.140625" style="3" customWidth="1"/>
    <col min="13362" max="13362" width="10.5703125" style="3" customWidth="1"/>
    <col min="13363" max="13363" width="11.140625" style="3" customWidth="1"/>
    <col min="13364" max="13364" width="25" style="3" customWidth="1"/>
    <col min="13365" max="13365" width="6" style="3" customWidth="1"/>
    <col min="13366" max="13569" width="9.140625" style="3"/>
    <col min="13570" max="13570" width="3.7109375" style="3" customWidth="1"/>
    <col min="13571" max="13571" width="2.28515625" style="3" customWidth="1"/>
    <col min="13572" max="13573" width="3.7109375" style="3" customWidth="1"/>
    <col min="13574" max="13574" width="2.28515625" style="3" customWidth="1"/>
    <col min="13575" max="13576" width="3.7109375" style="3" customWidth="1"/>
    <col min="13577" max="13577" width="2.28515625" style="3" customWidth="1"/>
    <col min="13578" max="13580" width="3.7109375" style="3" customWidth="1"/>
    <col min="13581" max="13581" width="2.28515625" style="3" customWidth="1"/>
    <col min="13582" max="13583" width="3.7109375" style="3" customWidth="1"/>
    <col min="13584" max="13584" width="2.28515625" style="3" customWidth="1"/>
    <col min="13585" max="13586" width="3.7109375" style="3" customWidth="1"/>
    <col min="13587" max="13587" width="2.28515625" style="3" customWidth="1"/>
    <col min="13588" max="13589" width="3.7109375" style="3" customWidth="1"/>
    <col min="13590" max="13590" width="2.28515625" style="3" customWidth="1"/>
    <col min="13591" max="13592" width="3.7109375" style="3" customWidth="1"/>
    <col min="13593" max="13593" width="2.28515625" style="3" customWidth="1"/>
    <col min="13594" max="13595" width="3.7109375" style="3" customWidth="1"/>
    <col min="13596" max="13596" width="2.28515625" style="3" customWidth="1"/>
    <col min="13597" max="13598" width="3.7109375" style="3" customWidth="1"/>
    <col min="13599" max="13599" width="2.28515625" style="3" customWidth="1"/>
    <col min="13600" max="13600" width="3.7109375" style="3" customWidth="1"/>
    <col min="13601" max="13601" width="9.7109375" style="3" customWidth="1"/>
    <col min="13602" max="13611" width="3.7109375" style="3" customWidth="1"/>
    <col min="13612" max="13612" width="11" style="3" customWidth="1"/>
    <col min="13613" max="13614" width="9.140625" style="3"/>
    <col min="13615" max="13615" width="24.42578125" style="3" customWidth="1"/>
    <col min="13616" max="13616" width="18.5703125" style="3" customWidth="1"/>
    <col min="13617" max="13617" width="15.140625" style="3" customWidth="1"/>
    <col min="13618" max="13618" width="10.5703125" style="3" customWidth="1"/>
    <col min="13619" max="13619" width="11.140625" style="3" customWidth="1"/>
    <col min="13620" max="13620" width="25" style="3" customWidth="1"/>
    <col min="13621" max="13621" width="6" style="3" customWidth="1"/>
    <col min="13622" max="13825" width="9.140625" style="3"/>
    <col min="13826" max="13826" width="3.7109375" style="3" customWidth="1"/>
    <col min="13827" max="13827" width="2.28515625" style="3" customWidth="1"/>
    <col min="13828" max="13829" width="3.7109375" style="3" customWidth="1"/>
    <col min="13830" max="13830" width="2.28515625" style="3" customWidth="1"/>
    <col min="13831" max="13832" width="3.7109375" style="3" customWidth="1"/>
    <col min="13833" max="13833" width="2.28515625" style="3" customWidth="1"/>
    <col min="13834" max="13836" width="3.7109375" style="3" customWidth="1"/>
    <col min="13837" max="13837" width="2.28515625" style="3" customWidth="1"/>
    <col min="13838" max="13839" width="3.7109375" style="3" customWidth="1"/>
    <col min="13840" max="13840" width="2.28515625" style="3" customWidth="1"/>
    <col min="13841" max="13842" width="3.7109375" style="3" customWidth="1"/>
    <col min="13843" max="13843" width="2.28515625" style="3" customWidth="1"/>
    <col min="13844" max="13845" width="3.7109375" style="3" customWidth="1"/>
    <col min="13846" max="13846" width="2.28515625" style="3" customWidth="1"/>
    <col min="13847" max="13848" width="3.7109375" style="3" customWidth="1"/>
    <col min="13849" max="13849" width="2.28515625" style="3" customWidth="1"/>
    <col min="13850" max="13851" width="3.7109375" style="3" customWidth="1"/>
    <col min="13852" max="13852" width="2.28515625" style="3" customWidth="1"/>
    <col min="13853" max="13854" width="3.7109375" style="3" customWidth="1"/>
    <col min="13855" max="13855" width="2.28515625" style="3" customWidth="1"/>
    <col min="13856" max="13856" width="3.7109375" style="3" customWidth="1"/>
    <col min="13857" max="13857" width="9.7109375" style="3" customWidth="1"/>
    <col min="13858" max="13867" width="3.7109375" style="3" customWidth="1"/>
    <col min="13868" max="13868" width="11" style="3" customWidth="1"/>
    <col min="13869" max="13870" width="9.140625" style="3"/>
    <col min="13871" max="13871" width="24.42578125" style="3" customWidth="1"/>
    <col min="13872" max="13872" width="18.5703125" style="3" customWidth="1"/>
    <col min="13873" max="13873" width="15.140625" style="3" customWidth="1"/>
    <col min="13874" max="13874" width="10.5703125" style="3" customWidth="1"/>
    <col min="13875" max="13875" width="11.140625" style="3" customWidth="1"/>
    <col min="13876" max="13876" width="25" style="3" customWidth="1"/>
    <col min="13877" max="13877" width="6" style="3" customWidth="1"/>
    <col min="13878" max="14081" width="9.140625" style="3"/>
    <col min="14082" max="14082" width="3.7109375" style="3" customWidth="1"/>
    <col min="14083" max="14083" width="2.28515625" style="3" customWidth="1"/>
    <col min="14084" max="14085" width="3.7109375" style="3" customWidth="1"/>
    <col min="14086" max="14086" width="2.28515625" style="3" customWidth="1"/>
    <col min="14087" max="14088" width="3.7109375" style="3" customWidth="1"/>
    <col min="14089" max="14089" width="2.28515625" style="3" customWidth="1"/>
    <col min="14090" max="14092" width="3.7109375" style="3" customWidth="1"/>
    <col min="14093" max="14093" width="2.28515625" style="3" customWidth="1"/>
    <col min="14094" max="14095" width="3.7109375" style="3" customWidth="1"/>
    <col min="14096" max="14096" width="2.28515625" style="3" customWidth="1"/>
    <col min="14097" max="14098" width="3.7109375" style="3" customWidth="1"/>
    <col min="14099" max="14099" width="2.28515625" style="3" customWidth="1"/>
    <col min="14100" max="14101" width="3.7109375" style="3" customWidth="1"/>
    <col min="14102" max="14102" width="2.28515625" style="3" customWidth="1"/>
    <col min="14103" max="14104" width="3.7109375" style="3" customWidth="1"/>
    <col min="14105" max="14105" width="2.28515625" style="3" customWidth="1"/>
    <col min="14106" max="14107" width="3.7109375" style="3" customWidth="1"/>
    <col min="14108" max="14108" width="2.28515625" style="3" customWidth="1"/>
    <col min="14109" max="14110" width="3.7109375" style="3" customWidth="1"/>
    <col min="14111" max="14111" width="2.28515625" style="3" customWidth="1"/>
    <col min="14112" max="14112" width="3.7109375" style="3" customWidth="1"/>
    <col min="14113" max="14113" width="9.7109375" style="3" customWidth="1"/>
    <col min="14114" max="14123" width="3.7109375" style="3" customWidth="1"/>
    <col min="14124" max="14124" width="11" style="3" customWidth="1"/>
    <col min="14125" max="14126" width="9.140625" style="3"/>
    <col min="14127" max="14127" width="24.42578125" style="3" customWidth="1"/>
    <col min="14128" max="14128" width="18.5703125" style="3" customWidth="1"/>
    <col min="14129" max="14129" width="15.140625" style="3" customWidth="1"/>
    <col min="14130" max="14130" width="10.5703125" style="3" customWidth="1"/>
    <col min="14131" max="14131" width="11.140625" style="3" customWidth="1"/>
    <col min="14132" max="14132" width="25" style="3" customWidth="1"/>
    <col min="14133" max="14133" width="6" style="3" customWidth="1"/>
    <col min="14134" max="14337" width="9.140625" style="3"/>
    <col min="14338" max="14338" width="3.7109375" style="3" customWidth="1"/>
    <col min="14339" max="14339" width="2.28515625" style="3" customWidth="1"/>
    <col min="14340" max="14341" width="3.7109375" style="3" customWidth="1"/>
    <col min="14342" max="14342" width="2.28515625" style="3" customWidth="1"/>
    <col min="14343" max="14344" width="3.7109375" style="3" customWidth="1"/>
    <col min="14345" max="14345" width="2.28515625" style="3" customWidth="1"/>
    <col min="14346" max="14348" width="3.7109375" style="3" customWidth="1"/>
    <col min="14349" max="14349" width="2.28515625" style="3" customWidth="1"/>
    <col min="14350" max="14351" width="3.7109375" style="3" customWidth="1"/>
    <col min="14352" max="14352" width="2.28515625" style="3" customWidth="1"/>
    <col min="14353" max="14354" width="3.7109375" style="3" customWidth="1"/>
    <col min="14355" max="14355" width="2.28515625" style="3" customWidth="1"/>
    <col min="14356" max="14357" width="3.7109375" style="3" customWidth="1"/>
    <col min="14358" max="14358" width="2.28515625" style="3" customWidth="1"/>
    <col min="14359" max="14360" width="3.7109375" style="3" customWidth="1"/>
    <col min="14361" max="14361" width="2.28515625" style="3" customWidth="1"/>
    <col min="14362" max="14363" width="3.7109375" style="3" customWidth="1"/>
    <col min="14364" max="14364" width="2.28515625" style="3" customWidth="1"/>
    <col min="14365" max="14366" width="3.7109375" style="3" customWidth="1"/>
    <col min="14367" max="14367" width="2.28515625" style="3" customWidth="1"/>
    <col min="14368" max="14368" width="3.7109375" style="3" customWidth="1"/>
    <col min="14369" max="14369" width="9.7109375" style="3" customWidth="1"/>
    <col min="14370" max="14379" width="3.7109375" style="3" customWidth="1"/>
    <col min="14380" max="14380" width="11" style="3" customWidth="1"/>
    <col min="14381" max="14382" width="9.140625" style="3"/>
    <col min="14383" max="14383" width="24.42578125" style="3" customWidth="1"/>
    <col min="14384" max="14384" width="18.5703125" style="3" customWidth="1"/>
    <col min="14385" max="14385" width="15.140625" style="3" customWidth="1"/>
    <col min="14386" max="14386" width="10.5703125" style="3" customWidth="1"/>
    <col min="14387" max="14387" width="11.140625" style="3" customWidth="1"/>
    <col min="14388" max="14388" width="25" style="3" customWidth="1"/>
    <col min="14389" max="14389" width="6" style="3" customWidth="1"/>
    <col min="14390" max="14593" width="9.140625" style="3"/>
    <col min="14594" max="14594" width="3.7109375" style="3" customWidth="1"/>
    <col min="14595" max="14595" width="2.28515625" style="3" customWidth="1"/>
    <col min="14596" max="14597" width="3.7109375" style="3" customWidth="1"/>
    <col min="14598" max="14598" width="2.28515625" style="3" customWidth="1"/>
    <col min="14599" max="14600" width="3.7109375" style="3" customWidth="1"/>
    <col min="14601" max="14601" width="2.28515625" style="3" customWidth="1"/>
    <col min="14602" max="14604" width="3.7109375" style="3" customWidth="1"/>
    <col min="14605" max="14605" width="2.28515625" style="3" customWidth="1"/>
    <col min="14606" max="14607" width="3.7109375" style="3" customWidth="1"/>
    <col min="14608" max="14608" width="2.28515625" style="3" customWidth="1"/>
    <col min="14609" max="14610" width="3.7109375" style="3" customWidth="1"/>
    <col min="14611" max="14611" width="2.28515625" style="3" customWidth="1"/>
    <col min="14612" max="14613" width="3.7109375" style="3" customWidth="1"/>
    <col min="14614" max="14614" width="2.28515625" style="3" customWidth="1"/>
    <col min="14615" max="14616" width="3.7109375" style="3" customWidth="1"/>
    <col min="14617" max="14617" width="2.28515625" style="3" customWidth="1"/>
    <col min="14618" max="14619" width="3.7109375" style="3" customWidth="1"/>
    <col min="14620" max="14620" width="2.28515625" style="3" customWidth="1"/>
    <col min="14621" max="14622" width="3.7109375" style="3" customWidth="1"/>
    <col min="14623" max="14623" width="2.28515625" style="3" customWidth="1"/>
    <col min="14624" max="14624" width="3.7109375" style="3" customWidth="1"/>
    <col min="14625" max="14625" width="9.7109375" style="3" customWidth="1"/>
    <col min="14626" max="14635" width="3.7109375" style="3" customWidth="1"/>
    <col min="14636" max="14636" width="11" style="3" customWidth="1"/>
    <col min="14637" max="14638" width="9.140625" style="3"/>
    <col min="14639" max="14639" width="24.42578125" style="3" customWidth="1"/>
    <col min="14640" max="14640" width="18.5703125" style="3" customWidth="1"/>
    <col min="14641" max="14641" width="15.140625" style="3" customWidth="1"/>
    <col min="14642" max="14642" width="10.5703125" style="3" customWidth="1"/>
    <col min="14643" max="14643" width="11.140625" style="3" customWidth="1"/>
    <col min="14644" max="14644" width="25" style="3" customWidth="1"/>
    <col min="14645" max="14645" width="6" style="3" customWidth="1"/>
    <col min="14646" max="14849" width="9.140625" style="3"/>
    <col min="14850" max="14850" width="3.7109375" style="3" customWidth="1"/>
    <col min="14851" max="14851" width="2.28515625" style="3" customWidth="1"/>
    <col min="14852" max="14853" width="3.7109375" style="3" customWidth="1"/>
    <col min="14854" max="14854" width="2.28515625" style="3" customWidth="1"/>
    <col min="14855" max="14856" width="3.7109375" style="3" customWidth="1"/>
    <col min="14857" max="14857" width="2.28515625" style="3" customWidth="1"/>
    <col min="14858" max="14860" width="3.7109375" style="3" customWidth="1"/>
    <col min="14861" max="14861" width="2.28515625" style="3" customWidth="1"/>
    <col min="14862" max="14863" width="3.7109375" style="3" customWidth="1"/>
    <col min="14864" max="14864" width="2.28515625" style="3" customWidth="1"/>
    <col min="14865" max="14866" width="3.7109375" style="3" customWidth="1"/>
    <col min="14867" max="14867" width="2.28515625" style="3" customWidth="1"/>
    <col min="14868" max="14869" width="3.7109375" style="3" customWidth="1"/>
    <col min="14870" max="14870" width="2.28515625" style="3" customWidth="1"/>
    <col min="14871" max="14872" width="3.7109375" style="3" customWidth="1"/>
    <col min="14873" max="14873" width="2.28515625" style="3" customWidth="1"/>
    <col min="14874" max="14875" width="3.7109375" style="3" customWidth="1"/>
    <col min="14876" max="14876" width="2.28515625" style="3" customWidth="1"/>
    <col min="14877" max="14878" width="3.7109375" style="3" customWidth="1"/>
    <col min="14879" max="14879" width="2.28515625" style="3" customWidth="1"/>
    <col min="14880" max="14880" width="3.7109375" style="3" customWidth="1"/>
    <col min="14881" max="14881" width="9.7109375" style="3" customWidth="1"/>
    <col min="14882" max="14891" width="3.7109375" style="3" customWidth="1"/>
    <col min="14892" max="14892" width="11" style="3" customWidth="1"/>
    <col min="14893" max="14894" width="9.140625" style="3"/>
    <col min="14895" max="14895" width="24.42578125" style="3" customWidth="1"/>
    <col min="14896" max="14896" width="18.5703125" style="3" customWidth="1"/>
    <col min="14897" max="14897" width="15.140625" style="3" customWidth="1"/>
    <col min="14898" max="14898" width="10.5703125" style="3" customWidth="1"/>
    <col min="14899" max="14899" width="11.140625" style="3" customWidth="1"/>
    <col min="14900" max="14900" width="25" style="3" customWidth="1"/>
    <col min="14901" max="14901" width="6" style="3" customWidth="1"/>
    <col min="14902" max="15105" width="9.140625" style="3"/>
    <col min="15106" max="15106" width="3.7109375" style="3" customWidth="1"/>
    <col min="15107" max="15107" width="2.28515625" style="3" customWidth="1"/>
    <col min="15108" max="15109" width="3.7109375" style="3" customWidth="1"/>
    <col min="15110" max="15110" width="2.28515625" style="3" customWidth="1"/>
    <col min="15111" max="15112" width="3.7109375" style="3" customWidth="1"/>
    <col min="15113" max="15113" width="2.28515625" style="3" customWidth="1"/>
    <col min="15114" max="15116" width="3.7109375" style="3" customWidth="1"/>
    <col min="15117" max="15117" width="2.28515625" style="3" customWidth="1"/>
    <col min="15118" max="15119" width="3.7109375" style="3" customWidth="1"/>
    <col min="15120" max="15120" width="2.28515625" style="3" customWidth="1"/>
    <col min="15121" max="15122" width="3.7109375" style="3" customWidth="1"/>
    <col min="15123" max="15123" width="2.28515625" style="3" customWidth="1"/>
    <col min="15124" max="15125" width="3.7109375" style="3" customWidth="1"/>
    <col min="15126" max="15126" width="2.28515625" style="3" customWidth="1"/>
    <col min="15127" max="15128" width="3.7109375" style="3" customWidth="1"/>
    <col min="15129" max="15129" width="2.28515625" style="3" customWidth="1"/>
    <col min="15130" max="15131" width="3.7109375" style="3" customWidth="1"/>
    <col min="15132" max="15132" width="2.28515625" style="3" customWidth="1"/>
    <col min="15133" max="15134" width="3.7109375" style="3" customWidth="1"/>
    <col min="15135" max="15135" width="2.28515625" style="3" customWidth="1"/>
    <col min="15136" max="15136" width="3.7109375" style="3" customWidth="1"/>
    <col min="15137" max="15137" width="9.7109375" style="3" customWidth="1"/>
    <col min="15138" max="15147" width="3.7109375" style="3" customWidth="1"/>
    <col min="15148" max="15148" width="11" style="3" customWidth="1"/>
    <col min="15149" max="15150" width="9.140625" style="3"/>
    <col min="15151" max="15151" width="24.42578125" style="3" customWidth="1"/>
    <col min="15152" max="15152" width="18.5703125" style="3" customWidth="1"/>
    <col min="15153" max="15153" width="15.140625" style="3" customWidth="1"/>
    <col min="15154" max="15154" width="10.5703125" style="3" customWidth="1"/>
    <col min="15155" max="15155" width="11.140625" style="3" customWidth="1"/>
    <col min="15156" max="15156" width="25" style="3" customWidth="1"/>
    <col min="15157" max="15157" width="6" style="3" customWidth="1"/>
    <col min="15158" max="15361" width="9.140625" style="3"/>
    <col min="15362" max="15362" width="3.7109375" style="3" customWidth="1"/>
    <col min="15363" max="15363" width="2.28515625" style="3" customWidth="1"/>
    <col min="15364" max="15365" width="3.7109375" style="3" customWidth="1"/>
    <col min="15366" max="15366" width="2.28515625" style="3" customWidth="1"/>
    <col min="15367" max="15368" width="3.7109375" style="3" customWidth="1"/>
    <col min="15369" max="15369" width="2.28515625" style="3" customWidth="1"/>
    <col min="15370" max="15372" width="3.7109375" style="3" customWidth="1"/>
    <col min="15373" max="15373" width="2.28515625" style="3" customWidth="1"/>
    <col min="15374" max="15375" width="3.7109375" style="3" customWidth="1"/>
    <col min="15376" max="15376" width="2.28515625" style="3" customWidth="1"/>
    <col min="15377" max="15378" width="3.7109375" style="3" customWidth="1"/>
    <col min="15379" max="15379" width="2.28515625" style="3" customWidth="1"/>
    <col min="15380" max="15381" width="3.7109375" style="3" customWidth="1"/>
    <col min="15382" max="15382" width="2.28515625" style="3" customWidth="1"/>
    <col min="15383" max="15384" width="3.7109375" style="3" customWidth="1"/>
    <col min="15385" max="15385" width="2.28515625" style="3" customWidth="1"/>
    <col min="15386" max="15387" width="3.7109375" style="3" customWidth="1"/>
    <col min="15388" max="15388" width="2.28515625" style="3" customWidth="1"/>
    <col min="15389" max="15390" width="3.7109375" style="3" customWidth="1"/>
    <col min="15391" max="15391" width="2.28515625" style="3" customWidth="1"/>
    <col min="15392" max="15392" width="3.7109375" style="3" customWidth="1"/>
    <col min="15393" max="15393" width="9.7109375" style="3" customWidth="1"/>
    <col min="15394" max="15403" width="3.7109375" style="3" customWidth="1"/>
    <col min="15404" max="15404" width="11" style="3" customWidth="1"/>
    <col min="15405" max="15406" width="9.140625" style="3"/>
    <col min="15407" max="15407" width="24.42578125" style="3" customWidth="1"/>
    <col min="15408" max="15408" width="18.5703125" style="3" customWidth="1"/>
    <col min="15409" max="15409" width="15.140625" style="3" customWidth="1"/>
    <col min="15410" max="15410" width="10.5703125" style="3" customWidth="1"/>
    <col min="15411" max="15411" width="11.140625" style="3" customWidth="1"/>
    <col min="15412" max="15412" width="25" style="3" customWidth="1"/>
    <col min="15413" max="15413" width="6" style="3" customWidth="1"/>
    <col min="15414" max="15617" width="9.140625" style="3"/>
    <col min="15618" max="15618" width="3.7109375" style="3" customWidth="1"/>
    <col min="15619" max="15619" width="2.28515625" style="3" customWidth="1"/>
    <col min="15620" max="15621" width="3.7109375" style="3" customWidth="1"/>
    <col min="15622" max="15622" width="2.28515625" style="3" customWidth="1"/>
    <col min="15623" max="15624" width="3.7109375" style="3" customWidth="1"/>
    <col min="15625" max="15625" width="2.28515625" style="3" customWidth="1"/>
    <col min="15626" max="15628" width="3.7109375" style="3" customWidth="1"/>
    <col min="15629" max="15629" width="2.28515625" style="3" customWidth="1"/>
    <col min="15630" max="15631" width="3.7109375" style="3" customWidth="1"/>
    <col min="15632" max="15632" width="2.28515625" style="3" customWidth="1"/>
    <col min="15633" max="15634" width="3.7109375" style="3" customWidth="1"/>
    <col min="15635" max="15635" width="2.28515625" style="3" customWidth="1"/>
    <col min="15636" max="15637" width="3.7109375" style="3" customWidth="1"/>
    <col min="15638" max="15638" width="2.28515625" style="3" customWidth="1"/>
    <col min="15639" max="15640" width="3.7109375" style="3" customWidth="1"/>
    <col min="15641" max="15641" width="2.28515625" style="3" customWidth="1"/>
    <col min="15642" max="15643" width="3.7109375" style="3" customWidth="1"/>
    <col min="15644" max="15644" width="2.28515625" style="3" customWidth="1"/>
    <col min="15645" max="15646" width="3.7109375" style="3" customWidth="1"/>
    <col min="15647" max="15647" width="2.28515625" style="3" customWidth="1"/>
    <col min="15648" max="15648" width="3.7109375" style="3" customWidth="1"/>
    <col min="15649" max="15649" width="9.7109375" style="3" customWidth="1"/>
    <col min="15650" max="15659" width="3.7109375" style="3" customWidth="1"/>
    <col min="15660" max="15660" width="11" style="3" customWidth="1"/>
    <col min="15661" max="15662" width="9.140625" style="3"/>
    <col min="15663" max="15663" width="24.42578125" style="3" customWidth="1"/>
    <col min="15664" max="15664" width="18.5703125" style="3" customWidth="1"/>
    <col min="15665" max="15665" width="15.140625" style="3" customWidth="1"/>
    <col min="15666" max="15666" width="10.5703125" style="3" customWidth="1"/>
    <col min="15667" max="15667" width="11.140625" style="3" customWidth="1"/>
    <col min="15668" max="15668" width="25" style="3" customWidth="1"/>
    <col min="15669" max="15669" width="6" style="3" customWidth="1"/>
    <col min="15670" max="15873" width="9.140625" style="3"/>
    <col min="15874" max="15874" width="3.7109375" style="3" customWidth="1"/>
    <col min="15875" max="15875" width="2.28515625" style="3" customWidth="1"/>
    <col min="15876" max="15877" width="3.7109375" style="3" customWidth="1"/>
    <col min="15878" max="15878" width="2.28515625" style="3" customWidth="1"/>
    <col min="15879" max="15880" width="3.7109375" style="3" customWidth="1"/>
    <col min="15881" max="15881" width="2.28515625" style="3" customWidth="1"/>
    <col min="15882" max="15884" width="3.7109375" style="3" customWidth="1"/>
    <col min="15885" max="15885" width="2.28515625" style="3" customWidth="1"/>
    <col min="15886" max="15887" width="3.7109375" style="3" customWidth="1"/>
    <col min="15888" max="15888" width="2.28515625" style="3" customWidth="1"/>
    <col min="15889" max="15890" width="3.7109375" style="3" customWidth="1"/>
    <col min="15891" max="15891" width="2.28515625" style="3" customWidth="1"/>
    <col min="15892" max="15893" width="3.7109375" style="3" customWidth="1"/>
    <col min="15894" max="15894" width="2.28515625" style="3" customWidth="1"/>
    <col min="15895" max="15896" width="3.7109375" style="3" customWidth="1"/>
    <col min="15897" max="15897" width="2.28515625" style="3" customWidth="1"/>
    <col min="15898" max="15899" width="3.7109375" style="3" customWidth="1"/>
    <col min="15900" max="15900" width="2.28515625" style="3" customWidth="1"/>
    <col min="15901" max="15902" width="3.7109375" style="3" customWidth="1"/>
    <col min="15903" max="15903" width="2.28515625" style="3" customWidth="1"/>
    <col min="15904" max="15904" width="3.7109375" style="3" customWidth="1"/>
    <col min="15905" max="15905" width="9.7109375" style="3" customWidth="1"/>
    <col min="15906" max="15915" width="3.7109375" style="3" customWidth="1"/>
    <col min="15916" max="15916" width="11" style="3" customWidth="1"/>
    <col min="15917" max="15918" width="9.140625" style="3"/>
    <col min="15919" max="15919" width="24.42578125" style="3" customWidth="1"/>
    <col min="15920" max="15920" width="18.5703125" style="3" customWidth="1"/>
    <col min="15921" max="15921" width="15.140625" style="3" customWidth="1"/>
    <col min="15922" max="15922" width="10.5703125" style="3" customWidth="1"/>
    <col min="15923" max="15923" width="11.140625" style="3" customWidth="1"/>
    <col min="15924" max="15924" width="25" style="3" customWidth="1"/>
    <col min="15925" max="15925" width="6" style="3" customWidth="1"/>
    <col min="15926" max="16129" width="9.140625" style="3"/>
    <col min="16130" max="16130" width="3.7109375" style="3" customWidth="1"/>
    <col min="16131" max="16131" width="2.28515625" style="3" customWidth="1"/>
    <col min="16132" max="16133" width="3.7109375" style="3" customWidth="1"/>
    <col min="16134" max="16134" width="2.28515625" style="3" customWidth="1"/>
    <col min="16135" max="16136" width="3.7109375" style="3" customWidth="1"/>
    <col min="16137" max="16137" width="2.28515625" style="3" customWidth="1"/>
    <col min="16138" max="16140" width="3.7109375" style="3" customWidth="1"/>
    <col min="16141" max="16141" width="2.28515625" style="3" customWidth="1"/>
    <col min="16142" max="16143" width="3.7109375" style="3" customWidth="1"/>
    <col min="16144" max="16144" width="2.28515625" style="3" customWidth="1"/>
    <col min="16145" max="16146" width="3.7109375" style="3" customWidth="1"/>
    <col min="16147" max="16147" width="2.28515625" style="3" customWidth="1"/>
    <col min="16148" max="16149" width="3.7109375" style="3" customWidth="1"/>
    <col min="16150" max="16150" width="2.28515625" style="3" customWidth="1"/>
    <col min="16151" max="16152" width="3.7109375" style="3" customWidth="1"/>
    <col min="16153" max="16153" width="2.28515625" style="3" customWidth="1"/>
    <col min="16154" max="16155" width="3.7109375" style="3" customWidth="1"/>
    <col min="16156" max="16156" width="2.28515625" style="3" customWidth="1"/>
    <col min="16157" max="16158" width="3.7109375" style="3" customWidth="1"/>
    <col min="16159" max="16159" width="2.28515625" style="3" customWidth="1"/>
    <col min="16160" max="16160" width="3.7109375" style="3" customWidth="1"/>
    <col min="16161" max="16161" width="9.7109375" style="3" customWidth="1"/>
    <col min="16162" max="16171" width="3.7109375" style="3" customWidth="1"/>
    <col min="16172" max="16172" width="11" style="3" customWidth="1"/>
    <col min="16173" max="16174" width="9.140625" style="3"/>
    <col min="16175" max="16175" width="24.42578125" style="3" customWidth="1"/>
    <col min="16176" max="16176" width="18.5703125" style="3" customWidth="1"/>
    <col min="16177" max="16177" width="15.140625" style="3" customWidth="1"/>
    <col min="16178" max="16178" width="10.5703125" style="3" customWidth="1"/>
    <col min="16179" max="16179" width="11.140625" style="3" customWidth="1"/>
    <col min="16180" max="16180" width="25" style="3" customWidth="1"/>
    <col min="16181" max="16181" width="6" style="3" customWidth="1"/>
    <col min="16182" max="16384" width="9.140625" style="3"/>
  </cols>
  <sheetData>
    <row r="1" spans="1:53" ht="13.5" thickBot="1">
      <c r="A1" s="523" t="s">
        <v>0</v>
      </c>
      <c r="B1" s="523"/>
      <c r="C1" s="523"/>
      <c r="D1" s="523"/>
      <c r="E1" s="523"/>
      <c r="F1" s="523"/>
      <c r="G1" s="523"/>
      <c r="H1" s="523"/>
      <c r="I1" s="523"/>
      <c r="J1" s="523"/>
      <c r="K1" s="523"/>
      <c r="L1" s="523"/>
      <c r="M1" s="523"/>
      <c r="N1" s="523"/>
      <c r="O1" s="523"/>
      <c r="P1" s="523"/>
      <c r="Q1" s="523"/>
      <c r="R1" s="523"/>
      <c r="S1" s="523"/>
      <c r="T1" s="523"/>
      <c r="U1" s="523"/>
      <c r="V1" s="523"/>
      <c r="W1" s="523"/>
      <c r="X1" s="523"/>
      <c r="Y1" s="523"/>
      <c r="Z1" s="523"/>
      <c r="AA1" s="523"/>
      <c r="AB1" s="523"/>
      <c r="AC1" s="523"/>
      <c r="AD1" s="523"/>
      <c r="AE1" s="523"/>
      <c r="AF1" s="523"/>
      <c r="AG1" s="523"/>
      <c r="AH1" s="523"/>
      <c r="AI1" s="523"/>
      <c r="AJ1" s="92"/>
      <c r="AK1" s="92"/>
      <c r="AL1" s="92"/>
      <c r="AM1" s="92"/>
      <c r="AN1" s="92"/>
      <c r="AO1" s="92"/>
      <c r="AP1" s="92"/>
      <c r="AQ1" s="222" t="s">
        <v>1249</v>
      </c>
      <c r="AR1" s="222" t="s">
        <v>1250</v>
      </c>
      <c r="AT1" s="753" t="s">
        <v>1</v>
      </c>
      <c r="AU1" s="754"/>
      <c r="AV1" s="754"/>
      <c r="AW1" s="755"/>
      <c r="AX1" s="524" t="s">
        <v>180</v>
      </c>
      <c r="AY1" s="525"/>
      <c r="AZ1" s="131" t="s">
        <v>181</v>
      </c>
      <c r="BA1" s="132">
        <v>16</v>
      </c>
    </row>
    <row r="2" spans="1:53" ht="18.75" customHeight="1" thickBot="1">
      <c r="A2" s="526" t="s">
        <v>2</v>
      </c>
      <c r="B2" s="527"/>
      <c r="C2" s="527"/>
      <c r="D2" s="527"/>
      <c r="E2" s="527"/>
      <c r="F2" s="527"/>
      <c r="G2" s="527"/>
      <c r="H2" s="527"/>
      <c r="I2" s="528"/>
      <c r="J2" s="249"/>
      <c r="K2" s="250"/>
      <c r="L2" s="250"/>
      <c r="M2" s="250"/>
      <c r="N2" s="250"/>
      <c r="O2" s="250"/>
      <c r="P2" s="250"/>
      <c r="Q2" s="250"/>
      <c r="R2" s="250"/>
      <c r="S2" s="250"/>
      <c r="T2" s="250"/>
      <c r="U2" s="250"/>
      <c r="V2" s="250"/>
      <c r="W2" s="250"/>
      <c r="X2" s="251"/>
      <c r="Y2" s="529" t="s">
        <v>3</v>
      </c>
      <c r="Z2" s="530"/>
      <c r="AA2" s="530"/>
      <c r="AB2" s="530"/>
      <c r="AC2" s="531"/>
      <c r="AD2" s="532"/>
      <c r="AE2" s="532"/>
      <c r="AF2" s="532"/>
      <c r="AG2" s="532"/>
      <c r="AH2" s="532"/>
      <c r="AI2" s="533"/>
      <c r="AJ2" s="534"/>
      <c r="AK2" s="534"/>
      <c r="AL2" s="534"/>
      <c r="AM2" s="534"/>
      <c r="AN2" s="534"/>
      <c r="AO2" s="534"/>
      <c r="AP2" s="534"/>
      <c r="AQ2" s="534"/>
      <c r="AR2" s="534"/>
      <c r="AT2" s="138" t="s">
        <v>4</v>
      </c>
      <c r="AU2" s="139" t="s">
        <v>5</v>
      </c>
      <c r="AV2" s="140" t="s">
        <v>6</v>
      </c>
      <c r="AW2" s="535" t="s">
        <v>183</v>
      </c>
      <c r="AX2" s="536" t="s">
        <v>184</v>
      </c>
      <c r="AY2" s="535" t="s">
        <v>7</v>
      </c>
      <c r="AZ2" s="131" t="s">
        <v>185</v>
      </c>
      <c r="BA2" s="132">
        <v>16</v>
      </c>
    </row>
    <row r="3" spans="1:53" ht="18.75" customHeight="1" thickBot="1">
      <c r="A3" s="537" t="s">
        <v>8</v>
      </c>
      <c r="B3" s="538"/>
      <c r="C3" s="539"/>
      <c r="D3" s="539"/>
      <c r="E3" s="539"/>
      <c r="F3" s="539"/>
      <c r="G3" s="539"/>
      <c r="H3" s="539"/>
      <c r="I3" s="539"/>
      <c r="J3" s="539"/>
      <c r="K3" s="539"/>
      <c r="L3" s="539"/>
      <c r="M3" s="539"/>
      <c r="N3" s="539"/>
      <c r="O3" s="540"/>
      <c r="P3" s="541" t="s">
        <v>9</v>
      </c>
      <c r="Q3" s="542"/>
      <c r="R3" s="542"/>
      <c r="S3" s="543"/>
      <c r="T3" s="544"/>
      <c r="U3" s="544"/>
      <c r="V3" s="544"/>
      <c r="W3" s="544"/>
      <c r="X3" s="545"/>
      <c r="Y3" s="546"/>
      <c r="Z3" s="547"/>
      <c r="AA3" s="547"/>
      <c r="AB3" s="547"/>
      <c r="AC3" s="548" t="s">
        <v>10</v>
      </c>
      <c r="AD3" s="549"/>
      <c r="AE3" s="549"/>
      <c r="AF3" s="550"/>
      <c r="AG3" s="551" t="s">
        <v>11</v>
      </c>
      <c r="AH3" s="258" t="s">
        <v>12</v>
      </c>
      <c r="AI3" s="259"/>
      <c r="AJ3" s="534"/>
      <c r="AK3" s="534"/>
      <c r="AL3" s="534"/>
      <c r="AM3" s="534"/>
      <c r="AN3" s="534"/>
      <c r="AO3" s="534"/>
      <c r="AP3" s="534"/>
      <c r="AQ3" s="534"/>
      <c r="AR3" s="534"/>
      <c r="AT3" s="141">
        <v>1</v>
      </c>
      <c r="AU3" s="142" t="s">
        <v>164</v>
      </c>
      <c r="AV3" s="143" t="s">
        <v>165</v>
      </c>
      <c r="AW3" s="821">
        <f>VLOOKUP(AV3,'11TmPM Rd 1'!AV:AY,4,FALSE)</f>
        <v>1422.8576396200242</v>
      </c>
      <c r="AX3" s="552">
        <f>VLOOKUP(AU3,AT$79:AU$259,2,FALSE)</f>
        <v>1428.9471659044832</v>
      </c>
      <c r="AY3" s="756">
        <f t="shared" ref="AY3:AY13" si="0">IF(ISNA(VLOOKUP(AU3,AT$273:AU$373,2,FALSE)),AX3,VLOOKUP(AU3,AT$273:AU$373,2,FALSE))</f>
        <v>1428.9471659044832</v>
      </c>
    </row>
    <row r="4" spans="1:53" ht="24" customHeight="1" thickBot="1">
      <c r="A4" s="554" t="s">
        <v>13</v>
      </c>
      <c r="B4" s="555"/>
      <c r="C4" s="555"/>
      <c r="D4" s="556"/>
      <c r="E4" s="557"/>
      <c r="F4" s="558"/>
      <c r="G4" s="558"/>
      <c r="H4" s="558"/>
      <c r="I4" s="558"/>
      <c r="J4" s="558"/>
      <c r="K4" s="558"/>
      <c r="L4" s="558"/>
      <c r="M4" s="559"/>
      <c r="N4" s="554" t="s">
        <v>291</v>
      </c>
      <c r="O4" s="555"/>
      <c r="P4" s="555"/>
      <c r="Q4" s="556"/>
      <c r="R4" s="560"/>
      <c r="S4" s="532"/>
      <c r="T4" s="532"/>
      <c r="U4" s="532"/>
      <c r="V4" s="532"/>
      <c r="W4" s="532"/>
      <c r="X4" s="532"/>
      <c r="Y4" s="532"/>
      <c r="Z4" s="532"/>
      <c r="AA4" s="533"/>
      <c r="AB4" s="554" t="s">
        <v>14</v>
      </c>
      <c r="AC4" s="555"/>
      <c r="AD4" s="555"/>
      <c r="AE4" s="556"/>
      <c r="AF4" s="560"/>
      <c r="AG4" s="532"/>
      <c r="AH4" s="532"/>
      <c r="AI4" s="533"/>
      <c r="AJ4" s="534"/>
      <c r="AK4" s="534"/>
      <c r="AL4" s="534"/>
      <c r="AM4" s="534"/>
      <c r="AN4" s="534"/>
      <c r="AO4" s="534"/>
      <c r="AP4" s="534"/>
      <c r="AQ4" s="534"/>
      <c r="AR4" s="534"/>
      <c r="AT4" s="94">
        <v>2</v>
      </c>
      <c r="AU4" s="148" t="s">
        <v>299</v>
      </c>
      <c r="AV4" s="149" t="s">
        <v>300</v>
      </c>
      <c r="AW4" s="821">
        <f>VLOOKUP(AV4,'11TmPM Rd 1'!AV:AY,4,FALSE)</f>
        <v>1223.9169286732151</v>
      </c>
      <c r="AX4" s="561">
        <f t="shared" ref="AX4:AX13" si="1">VLOOKUP(AU4,AT$79:AU$259,2,FALSE)</f>
        <v>1178.1633229210488</v>
      </c>
      <c r="AY4" s="553">
        <f t="shared" si="0"/>
        <v>1178.1633229210488</v>
      </c>
    </row>
    <row r="5" spans="1:53" ht="15.75" thickBot="1">
      <c r="A5" s="92" t="s">
        <v>15</v>
      </c>
      <c r="B5" s="292" t="s">
        <v>15</v>
      </c>
      <c r="C5" s="293"/>
      <c r="D5" s="293"/>
      <c r="E5" s="293"/>
      <c r="F5" s="293"/>
      <c r="G5" s="293"/>
      <c r="H5" s="293"/>
      <c r="I5" s="293"/>
      <c r="J5" s="293"/>
      <c r="K5" s="221"/>
      <c r="L5" s="294" t="s">
        <v>15</v>
      </c>
      <c r="M5" s="294"/>
      <c r="N5" s="294"/>
      <c r="O5" s="294"/>
      <c r="P5" s="294"/>
      <c r="Q5" s="294"/>
      <c r="R5" s="294"/>
      <c r="S5" s="294"/>
      <c r="T5" s="294"/>
      <c r="U5" s="294"/>
      <c r="V5" s="294"/>
      <c r="W5" s="294"/>
      <c r="X5" s="294"/>
      <c r="Y5" s="294"/>
      <c r="Z5" s="294"/>
      <c r="AA5" s="294"/>
      <c r="AB5" s="294"/>
      <c r="AC5" s="294"/>
      <c r="AD5" s="294"/>
      <c r="AE5" s="294"/>
      <c r="AF5" s="294"/>
      <c r="AG5" s="92"/>
      <c r="AH5" s="92"/>
      <c r="AI5" s="92"/>
      <c r="AJ5" s="92"/>
      <c r="AK5" s="92"/>
      <c r="AL5" s="92"/>
      <c r="AM5" s="92"/>
      <c r="AN5" s="92"/>
      <c r="AO5" s="92"/>
      <c r="AP5" s="92"/>
      <c r="AQ5" s="92"/>
      <c r="AR5" s="92"/>
      <c r="AT5" s="94">
        <v>3</v>
      </c>
      <c r="AU5" s="148" t="s">
        <v>173</v>
      </c>
      <c r="AV5" s="149" t="s">
        <v>174</v>
      </c>
      <c r="AW5" s="821">
        <f>VLOOKUP(AV5,'11TmPM Rd 1'!AV:AY,4,FALSE)</f>
        <v>1191.7380642227506</v>
      </c>
      <c r="AX5" s="561">
        <f t="shared" si="1"/>
        <v>1202.6504789498138</v>
      </c>
      <c r="AY5" s="553">
        <f t="shared" si="0"/>
        <v>1202.6504789498138</v>
      </c>
    </row>
    <row r="6" spans="1:53" ht="24" customHeight="1" thickBot="1">
      <c r="A6" s="96" t="s">
        <v>16</v>
      </c>
      <c r="B6" s="150" t="s">
        <v>292</v>
      </c>
      <c r="C6" s="274" t="s">
        <v>188</v>
      </c>
      <c r="D6" s="275"/>
      <c r="E6" s="275"/>
      <c r="F6" s="275"/>
      <c r="G6" s="275"/>
      <c r="H6" s="276"/>
      <c r="I6" s="277">
        <v>1</v>
      </c>
      <c r="J6" s="278"/>
      <c r="K6" s="279" t="str">
        <f>"Pool "&amp;B6&amp;" - Round 1 - Court "&amp;I6</f>
        <v>Pool A - Round 1 - Court 1</v>
      </c>
      <c r="L6" s="280"/>
      <c r="M6" s="280"/>
      <c r="N6" s="280"/>
      <c r="O6" s="280"/>
      <c r="P6" s="280"/>
      <c r="Q6" s="280"/>
      <c r="R6" s="280"/>
      <c r="S6" s="280"/>
      <c r="T6" s="280"/>
      <c r="U6" s="280"/>
      <c r="V6" s="280"/>
      <c r="W6" s="280"/>
      <c r="X6" s="280"/>
      <c r="Y6" s="280"/>
      <c r="Z6" s="280"/>
      <c r="AA6" s="280"/>
      <c r="AB6" s="280"/>
      <c r="AC6" s="280"/>
      <c r="AD6" s="280"/>
      <c r="AE6" s="280"/>
      <c r="AF6" s="280"/>
      <c r="AG6" s="280"/>
      <c r="AH6" s="280"/>
      <c r="AI6" s="280"/>
      <c r="AJ6" s="281"/>
      <c r="AK6" s="534"/>
      <c r="AL6" s="534"/>
      <c r="AM6" s="534"/>
      <c r="AN6" s="534"/>
      <c r="AO6" s="534"/>
      <c r="AP6" s="534"/>
      <c r="AQ6" s="534"/>
      <c r="AR6" s="534"/>
      <c r="AT6" s="94">
        <v>4</v>
      </c>
      <c r="AU6" s="148" t="s">
        <v>131</v>
      </c>
      <c r="AV6" s="149" t="s">
        <v>94</v>
      </c>
      <c r="AW6" s="821">
        <f>VLOOKUP(AV6,'11TmPM Rd 1'!AV:AY,4,FALSE)</f>
        <v>1162.564148165184</v>
      </c>
      <c r="AX6" s="561">
        <f t="shared" si="1"/>
        <v>1207.4161667092396</v>
      </c>
      <c r="AY6" s="553">
        <f t="shared" si="0"/>
        <v>1207.4161667092396</v>
      </c>
    </row>
    <row r="7" spans="1:53" ht="27" customHeight="1" thickBot="1">
      <c r="A7" s="97" t="s">
        <v>17</v>
      </c>
      <c r="B7" s="282" t="s">
        <v>5</v>
      </c>
      <c r="C7" s="295"/>
      <c r="D7" s="295"/>
      <c r="E7" s="295"/>
      <c r="F7" s="295"/>
      <c r="G7" s="295"/>
      <c r="H7" s="295"/>
      <c r="I7" s="295"/>
      <c r="J7" s="295"/>
      <c r="K7" s="295"/>
      <c r="L7" s="295"/>
      <c r="M7" s="282" t="str">
        <f>IF($AL10=0,"Games Won","Matches Won")</f>
        <v>Matches Won</v>
      </c>
      <c r="N7" s="295"/>
      <c r="O7" s="295"/>
      <c r="P7" s="295"/>
      <c r="Q7" s="295"/>
      <c r="R7" s="297"/>
      <c r="S7" s="282" t="str">
        <f>IF($AL10=0,"Games Lost","Matches Lost")</f>
        <v>Matches Lost</v>
      </c>
      <c r="T7" s="299"/>
      <c r="U7" s="299"/>
      <c r="V7" s="299"/>
      <c r="W7" s="300"/>
      <c r="X7" s="301" t="s">
        <v>18</v>
      </c>
      <c r="Y7" s="302"/>
      <c r="Z7" s="303"/>
      <c r="AA7" s="301" t="s">
        <v>189</v>
      </c>
      <c r="AB7" s="302"/>
      <c r="AC7" s="303"/>
      <c r="AD7" s="312" t="s">
        <v>19</v>
      </c>
      <c r="AE7" s="313"/>
      <c r="AF7" s="314"/>
      <c r="AG7" s="98" t="s">
        <v>20</v>
      </c>
      <c r="AH7" s="151" t="s">
        <v>4</v>
      </c>
      <c r="AI7" s="315" t="s">
        <v>21</v>
      </c>
      <c r="AJ7" s="316"/>
      <c r="AK7" s="99"/>
      <c r="AL7" s="100">
        <v>2</v>
      </c>
      <c r="AM7" s="101" t="s">
        <v>22</v>
      </c>
      <c r="AN7" s="101"/>
      <c r="AO7" s="101"/>
      <c r="AP7" s="101"/>
      <c r="AQ7" s="101"/>
      <c r="AR7" s="101"/>
      <c r="AT7" s="94">
        <v>5</v>
      </c>
      <c r="AU7" s="148" t="s">
        <v>88</v>
      </c>
      <c r="AV7" s="149" t="s">
        <v>95</v>
      </c>
      <c r="AW7" s="821">
        <f>VLOOKUP(AV7,'11TmPM Rd 1'!AV:AY,4,FALSE)</f>
        <v>1222.6612835415767</v>
      </c>
      <c r="AX7" s="561">
        <f t="shared" si="1"/>
        <v>1267.295655925891</v>
      </c>
      <c r="AY7" s="553">
        <f t="shared" si="0"/>
        <v>1267.295655925891</v>
      </c>
    </row>
    <row r="8" spans="1:53" ht="18.75" customHeight="1">
      <c r="A8" s="562" t="str">
        <f>IF($AL9&gt;0,"1","")</f>
        <v>1</v>
      </c>
      <c r="B8" s="319" t="s">
        <v>5</v>
      </c>
      <c r="C8" s="320"/>
      <c r="D8" s="321"/>
      <c r="E8" s="322" t="str">
        <f>AU3</f>
        <v>Magnum 12 Blue</v>
      </c>
      <c r="F8" s="323"/>
      <c r="G8" s="323"/>
      <c r="H8" s="323"/>
      <c r="I8" s="323"/>
      <c r="J8" s="323"/>
      <c r="K8" s="323"/>
      <c r="L8" s="324"/>
      <c r="M8" s="304">
        <f>IF($AL10=0,AG64,AG46)</f>
        <v>2</v>
      </c>
      <c r="N8" s="305"/>
      <c r="O8" s="305"/>
      <c r="P8" s="305"/>
      <c r="Q8" s="305"/>
      <c r="R8" s="297"/>
      <c r="S8" s="304">
        <f>IF($AL10=0,AH64,AH46)</f>
        <v>1</v>
      </c>
      <c r="T8" s="305"/>
      <c r="U8" s="305"/>
      <c r="V8" s="305"/>
      <c r="W8" s="305"/>
      <c r="X8" s="304">
        <f>AR24</f>
        <v>34</v>
      </c>
      <c r="Y8" s="305"/>
      <c r="Z8" s="305"/>
      <c r="AA8" s="563">
        <f>IF(AG58&gt;0,(AR24/AG58),0)</f>
        <v>0.26153846153846155</v>
      </c>
      <c r="AB8" s="564"/>
      <c r="AC8" s="564"/>
      <c r="AD8" s="565">
        <f>IF(AG72=0,0,(AG64/AG72))</f>
        <v>0.66666666666666663</v>
      </c>
      <c r="AE8" s="566"/>
      <c r="AF8" s="567"/>
      <c r="AG8" s="331"/>
      <c r="AH8" s="331"/>
      <c r="AI8" s="333"/>
      <c r="AJ8" s="334"/>
      <c r="AK8" s="99"/>
      <c r="AL8" s="100">
        <v>6</v>
      </c>
      <c r="AM8" s="101" t="s">
        <v>23</v>
      </c>
      <c r="AN8" s="101"/>
      <c r="AO8" s="101"/>
      <c r="AP8" s="101"/>
      <c r="AQ8" s="101"/>
      <c r="AR8" s="101"/>
      <c r="AT8" s="94">
        <v>6</v>
      </c>
      <c r="AU8" s="148" t="s">
        <v>167</v>
      </c>
      <c r="AV8" s="149" t="s">
        <v>168</v>
      </c>
      <c r="AW8" s="821">
        <f>VLOOKUP(AV8,'11TmPM Rd 1'!AV:AY,4,FALSE)</f>
        <v>1421.7808589388503</v>
      </c>
      <c r="AX8" s="561">
        <f t="shared" si="1"/>
        <v>1445.6204424026257</v>
      </c>
      <c r="AY8" s="553">
        <f t="shared" si="0"/>
        <v>1445.6204424026257</v>
      </c>
    </row>
    <row r="9" spans="1:53" ht="18.75" customHeight="1" thickBot="1">
      <c r="A9" s="568"/>
      <c r="B9" s="337" t="s">
        <v>6</v>
      </c>
      <c r="C9" s="338"/>
      <c r="D9" s="339"/>
      <c r="E9" s="340" t="str">
        <f>AV3</f>
        <v>fj2magnm4pm</v>
      </c>
      <c r="F9" s="341"/>
      <c r="G9" s="341"/>
      <c r="H9" s="341"/>
      <c r="I9" s="341"/>
      <c r="J9" s="341"/>
      <c r="K9" s="341"/>
      <c r="L9" s="341"/>
      <c r="M9" s="306"/>
      <c r="N9" s="307"/>
      <c r="O9" s="307"/>
      <c r="P9" s="307"/>
      <c r="Q9" s="307"/>
      <c r="R9" s="297"/>
      <c r="S9" s="306"/>
      <c r="T9" s="307"/>
      <c r="U9" s="307"/>
      <c r="V9" s="307"/>
      <c r="W9" s="307"/>
      <c r="X9" s="306"/>
      <c r="Y9" s="307"/>
      <c r="Z9" s="307"/>
      <c r="AA9" s="569"/>
      <c r="AB9" s="570"/>
      <c r="AC9" s="570"/>
      <c r="AD9" s="571"/>
      <c r="AE9" s="572"/>
      <c r="AF9" s="573"/>
      <c r="AG9" s="332"/>
      <c r="AH9" s="332"/>
      <c r="AI9" s="335"/>
      <c r="AJ9" s="336"/>
      <c r="AK9" s="99"/>
      <c r="AL9" s="100">
        <v>4</v>
      </c>
      <c r="AM9" s="101" t="s">
        <v>190</v>
      </c>
      <c r="AN9" s="99"/>
      <c r="AO9" s="99"/>
      <c r="AP9" s="99"/>
      <c r="AQ9" s="99"/>
      <c r="AR9" s="99"/>
      <c r="AT9" s="94">
        <v>7</v>
      </c>
      <c r="AU9" s="148" t="s">
        <v>143</v>
      </c>
      <c r="AV9" s="149" t="s">
        <v>144</v>
      </c>
      <c r="AW9" s="821">
        <f>VLOOKUP(AV9,'11TmPM Rd 1'!AV:AY,4,FALSE)</f>
        <v>1433.2800128984868</v>
      </c>
      <c r="AX9" s="561">
        <f t="shared" si="1"/>
        <v>1423.113267317799</v>
      </c>
      <c r="AY9" s="553">
        <f t="shared" si="0"/>
        <v>1423.113267317799</v>
      </c>
    </row>
    <row r="10" spans="1:53" ht="18.75" customHeight="1">
      <c r="A10" s="562" t="str">
        <f>IF($AL9&gt;1,"2","")</f>
        <v>2</v>
      </c>
      <c r="B10" s="319" t="s">
        <v>5</v>
      </c>
      <c r="C10" s="320"/>
      <c r="D10" s="321"/>
      <c r="E10" s="322" t="str">
        <f>AU8</f>
        <v>Magnum Aiken 12 Yellow</v>
      </c>
      <c r="F10" s="323"/>
      <c r="G10" s="323"/>
      <c r="H10" s="323"/>
      <c r="I10" s="323"/>
      <c r="J10" s="323"/>
      <c r="K10" s="323"/>
      <c r="L10" s="324"/>
      <c r="M10" s="304">
        <f>IF($AL10=0,AG65,AG47)</f>
        <v>2</v>
      </c>
      <c r="N10" s="305"/>
      <c r="O10" s="305"/>
      <c r="P10" s="305"/>
      <c r="Q10" s="305"/>
      <c r="R10" s="297"/>
      <c r="S10" s="304">
        <f>IF($AL10=0,AH65,AH47)</f>
        <v>0</v>
      </c>
      <c r="T10" s="305"/>
      <c r="U10" s="305"/>
      <c r="V10" s="305"/>
      <c r="W10" s="305"/>
      <c r="X10" s="304">
        <f>AR25</f>
        <v>31</v>
      </c>
      <c r="Y10" s="305"/>
      <c r="Z10" s="305"/>
      <c r="AA10" s="563">
        <f>IF(AG59&gt;0,(AR25/AG59),0)</f>
        <v>0.26271186440677968</v>
      </c>
      <c r="AB10" s="564"/>
      <c r="AC10" s="564"/>
      <c r="AD10" s="565">
        <f>IF(AG73=0,0,(AG65/AG73))</f>
        <v>0.83333333333333337</v>
      </c>
      <c r="AE10" s="566"/>
      <c r="AF10" s="567"/>
      <c r="AG10" s="331"/>
      <c r="AH10" s="331"/>
      <c r="AI10" s="333"/>
      <c r="AJ10" s="334"/>
      <c r="AK10" s="99"/>
      <c r="AL10" s="100">
        <v>1</v>
      </c>
      <c r="AM10" s="101" t="s">
        <v>24</v>
      </c>
      <c r="AN10" s="101"/>
      <c r="AO10" s="101"/>
      <c r="AP10" s="101"/>
      <c r="AQ10" s="101"/>
      <c r="AR10" s="101"/>
      <c r="AT10" s="94">
        <v>8</v>
      </c>
      <c r="AU10" s="148" t="s">
        <v>148</v>
      </c>
      <c r="AV10" s="149" t="s">
        <v>149</v>
      </c>
      <c r="AW10" s="821">
        <f>VLOOKUP(AV10,'11TmPM Rd 1'!AV:AY,4,FALSE)</f>
        <v>1193.0947726176266</v>
      </c>
      <c r="AX10" s="561">
        <f t="shared" si="1"/>
        <v>1197.8219776000703</v>
      </c>
      <c r="AY10" s="553">
        <f t="shared" si="0"/>
        <v>1197.8219776000703</v>
      </c>
    </row>
    <row r="11" spans="1:53" ht="18.75" customHeight="1" thickBot="1">
      <c r="A11" s="568"/>
      <c r="B11" s="342" t="s">
        <v>6</v>
      </c>
      <c r="C11" s="343"/>
      <c r="D11" s="343"/>
      <c r="E11" s="340" t="str">
        <f>AV8</f>
        <v>fj2magnm5pm</v>
      </c>
      <c r="F11" s="341"/>
      <c r="G11" s="341"/>
      <c r="H11" s="341"/>
      <c r="I11" s="341"/>
      <c r="J11" s="341"/>
      <c r="K11" s="341"/>
      <c r="L11" s="341"/>
      <c r="M11" s="306"/>
      <c r="N11" s="307"/>
      <c r="O11" s="307"/>
      <c r="P11" s="307"/>
      <c r="Q11" s="307"/>
      <c r="R11" s="297"/>
      <c r="S11" s="306"/>
      <c r="T11" s="307"/>
      <c r="U11" s="307"/>
      <c r="V11" s="307"/>
      <c r="W11" s="307"/>
      <c r="X11" s="306"/>
      <c r="Y11" s="307"/>
      <c r="Z11" s="307"/>
      <c r="AA11" s="569"/>
      <c r="AB11" s="570"/>
      <c r="AC11" s="570"/>
      <c r="AD11" s="571"/>
      <c r="AE11" s="572"/>
      <c r="AF11" s="573"/>
      <c r="AG11" s="332"/>
      <c r="AH11" s="332"/>
      <c r="AI11" s="335"/>
      <c r="AJ11" s="336"/>
      <c r="AK11" s="99"/>
      <c r="AL11" s="100">
        <v>1</v>
      </c>
      <c r="AM11" s="101" t="s">
        <v>25</v>
      </c>
      <c r="AN11" s="99"/>
      <c r="AO11" s="99"/>
      <c r="AP11" s="99"/>
      <c r="AQ11" s="99"/>
      <c r="AR11" s="99"/>
      <c r="AT11" s="94">
        <v>9</v>
      </c>
      <c r="AU11" s="148" t="s">
        <v>304</v>
      </c>
      <c r="AV11" s="149" t="s">
        <v>305</v>
      </c>
      <c r="AW11" s="821">
        <f>VLOOKUP(AV11,'11TmPM Rd 1'!AV:AY,4,FALSE)</f>
        <v>1161.3863042207724</v>
      </c>
      <c r="AX11" s="561">
        <f t="shared" si="1"/>
        <v>1105.6218709496536</v>
      </c>
      <c r="AY11" s="553">
        <f t="shared" si="0"/>
        <v>1105.6218709496536</v>
      </c>
    </row>
    <row r="12" spans="1:53" ht="18.75" customHeight="1">
      <c r="A12" s="562" t="str">
        <f>IF($AL9&gt;2,"3","")</f>
        <v>3</v>
      </c>
      <c r="B12" s="344" t="s">
        <v>5</v>
      </c>
      <c r="C12" s="345"/>
      <c r="D12" s="345"/>
      <c r="E12" s="322" t="str">
        <f>AU9</f>
        <v>USA 12 Purple</v>
      </c>
      <c r="F12" s="323"/>
      <c r="G12" s="323"/>
      <c r="H12" s="323"/>
      <c r="I12" s="323"/>
      <c r="J12" s="323"/>
      <c r="K12" s="323"/>
      <c r="L12" s="324"/>
      <c r="M12" s="304">
        <f>IF($AL10=0,AG66,AG48)</f>
        <v>1</v>
      </c>
      <c r="N12" s="305"/>
      <c r="O12" s="305"/>
      <c r="P12" s="305"/>
      <c r="Q12" s="305"/>
      <c r="R12" s="297"/>
      <c r="S12" s="304">
        <f>IF($AL10=0,AH66,AH48)</f>
        <v>1</v>
      </c>
      <c r="T12" s="305"/>
      <c r="U12" s="305"/>
      <c r="V12" s="305"/>
      <c r="W12" s="305"/>
      <c r="X12" s="304">
        <f>AR26</f>
        <v>-10</v>
      </c>
      <c r="Y12" s="305"/>
      <c r="Z12" s="305"/>
      <c r="AA12" s="563">
        <f>IF(AG60&gt;0,(AR26/AG60),0)</f>
        <v>-7.7519379844961239E-2</v>
      </c>
      <c r="AB12" s="564"/>
      <c r="AC12" s="564"/>
      <c r="AD12" s="565">
        <f>IF(AG74=0,0,(AG66/AG74))</f>
        <v>0.5</v>
      </c>
      <c r="AE12" s="566"/>
      <c r="AF12" s="567"/>
      <c r="AG12" s="331"/>
      <c r="AH12" s="331"/>
      <c r="AI12" s="333"/>
      <c r="AJ12" s="334"/>
      <c r="AK12" s="103"/>
      <c r="AL12" s="100">
        <v>3</v>
      </c>
      <c r="AM12" s="152" t="s">
        <v>191</v>
      </c>
      <c r="AN12" s="101"/>
      <c r="AO12" s="101"/>
      <c r="AP12" s="101"/>
      <c r="AQ12" s="101"/>
      <c r="AR12" s="101"/>
      <c r="AT12" s="94">
        <v>10</v>
      </c>
      <c r="AU12" s="148" t="s">
        <v>170</v>
      </c>
      <c r="AV12" s="149" t="s">
        <v>171</v>
      </c>
      <c r="AW12" s="821">
        <f>VLOOKUP(AV12,'11TmPM Rd 1'!AV:AY,4,FALSE)</f>
        <v>1240.6866470437872</v>
      </c>
      <c r="AX12" s="561">
        <f t="shared" si="1"/>
        <v>1237.0786754291955</v>
      </c>
      <c r="AY12" s="553">
        <f t="shared" si="0"/>
        <v>1237.0786754291955</v>
      </c>
    </row>
    <row r="13" spans="1:53" ht="18.75" customHeight="1" thickBot="1">
      <c r="A13" s="568"/>
      <c r="B13" s="342" t="s">
        <v>6</v>
      </c>
      <c r="C13" s="343"/>
      <c r="D13" s="343"/>
      <c r="E13" s="340" t="str">
        <f>AV9</f>
        <v>fj2unsel2cr</v>
      </c>
      <c r="F13" s="341"/>
      <c r="G13" s="341"/>
      <c r="H13" s="341"/>
      <c r="I13" s="341"/>
      <c r="J13" s="341"/>
      <c r="K13" s="341"/>
      <c r="L13" s="341"/>
      <c r="M13" s="306"/>
      <c r="N13" s="307"/>
      <c r="O13" s="307"/>
      <c r="P13" s="307"/>
      <c r="Q13" s="307"/>
      <c r="R13" s="297"/>
      <c r="S13" s="306"/>
      <c r="T13" s="307"/>
      <c r="U13" s="307"/>
      <c r="V13" s="307"/>
      <c r="W13" s="307"/>
      <c r="X13" s="306"/>
      <c r="Y13" s="307"/>
      <c r="Z13" s="307"/>
      <c r="AA13" s="569"/>
      <c r="AB13" s="570"/>
      <c r="AC13" s="570"/>
      <c r="AD13" s="571"/>
      <c r="AE13" s="572"/>
      <c r="AF13" s="573"/>
      <c r="AG13" s="332"/>
      <c r="AH13" s="332"/>
      <c r="AI13" s="335"/>
      <c r="AJ13" s="336"/>
      <c r="AK13" s="103"/>
      <c r="AL13" s="153"/>
      <c r="AM13" s="154"/>
      <c r="AN13" s="154"/>
      <c r="AO13" s="154"/>
      <c r="AP13" s="154"/>
      <c r="AQ13" s="154"/>
      <c r="AR13" s="99"/>
      <c r="AT13" s="94">
        <v>11</v>
      </c>
      <c r="AU13" s="148" t="s">
        <v>127</v>
      </c>
      <c r="AV13" s="149" t="s">
        <v>128</v>
      </c>
      <c r="AW13" s="821">
        <f>VLOOKUP(AV13,'11TmPM Rd 1'!AV:AY,4,FALSE)</f>
        <v>1192.7000067243928</v>
      </c>
      <c r="AX13" s="561">
        <f t="shared" si="1"/>
        <v>1172.9376425568462</v>
      </c>
      <c r="AY13" s="553">
        <f t="shared" si="0"/>
        <v>1172.9376425568462</v>
      </c>
    </row>
    <row r="14" spans="1:53" ht="18.75" customHeight="1">
      <c r="A14" s="562" t="str">
        <f>IF($AL9&gt;3,"4","")</f>
        <v>4</v>
      </c>
      <c r="B14" s="344" t="s">
        <v>5</v>
      </c>
      <c r="C14" s="345"/>
      <c r="D14" s="345"/>
      <c r="E14" s="322" t="str">
        <f>AU13</f>
        <v>SC Midlands KP Gray</v>
      </c>
      <c r="F14" s="323"/>
      <c r="G14" s="323"/>
      <c r="H14" s="323"/>
      <c r="I14" s="323"/>
      <c r="J14" s="323"/>
      <c r="K14" s="323"/>
      <c r="L14" s="324"/>
      <c r="M14" s="304">
        <f>IF($AL10=0,AG67,AG49)</f>
        <v>0</v>
      </c>
      <c r="N14" s="305"/>
      <c r="O14" s="305"/>
      <c r="P14" s="305"/>
      <c r="Q14" s="305"/>
      <c r="R14" s="297"/>
      <c r="S14" s="304">
        <f>IF($AL10=0,AH67,AH49)</f>
        <v>3</v>
      </c>
      <c r="T14" s="305"/>
      <c r="U14" s="305"/>
      <c r="V14" s="305"/>
      <c r="W14" s="305"/>
      <c r="X14" s="304">
        <f>AR27</f>
        <v>-55</v>
      </c>
      <c r="Y14" s="305"/>
      <c r="Z14" s="305"/>
      <c r="AA14" s="563">
        <f>IF(AG61&gt;0,(AR27/AG61),0)</f>
        <v>-0.39568345323741005</v>
      </c>
      <c r="AB14" s="564"/>
      <c r="AC14" s="564"/>
      <c r="AD14" s="565">
        <f>IF(AG75=0,0,(AG67/AG75))</f>
        <v>0</v>
      </c>
      <c r="AE14" s="566"/>
      <c r="AF14" s="567"/>
      <c r="AG14" s="331"/>
      <c r="AH14" s="331"/>
      <c r="AI14" s="333"/>
      <c r="AJ14" s="334"/>
      <c r="AK14" s="534"/>
      <c r="AL14" s="154"/>
      <c r="AM14" s="154"/>
      <c r="AN14" s="154"/>
      <c r="AO14" s="154"/>
      <c r="AP14" s="154"/>
      <c r="AQ14" s="154"/>
      <c r="AR14" s="101"/>
      <c r="AT14" s="574"/>
      <c r="AU14" s="575"/>
      <c r="AV14" s="576"/>
      <c r="AW14" s="576"/>
      <c r="AX14" s="577"/>
      <c r="AY14" s="578"/>
    </row>
    <row r="15" spans="1:53" ht="18.75" customHeight="1" thickBot="1">
      <c r="A15" s="568"/>
      <c r="B15" s="342" t="s">
        <v>6</v>
      </c>
      <c r="C15" s="343"/>
      <c r="D15" s="343"/>
      <c r="E15" s="340" t="str">
        <f>AV13</f>
        <v>fj2scmid4pm</v>
      </c>
      <c r="F15" s="341"/>
      <c r="G15" s="341"/>
      <c r="H15" s="341"/>
      <c r="I15" s="341"/>
      <c r="J15" s="341"/>
      <c r="K15" s="341"/>
      <c r="L15" s="341"/>
      <c r="M15" s="306"/>
      <c r="N15" s="307"/>
      <c r="O15" s="307"/>
      <c r="P15" s="307"/>
      <c r="Q15" s="307"/>
      <c r="R15" s="297"/>
      <c r="S15" s="306"/>
      <c r="T15" s="307"/>
      <c r="U15" s="307"/>
      <c r="V15" s="307"/>
      <c r="W15" s="307"/>
      <c r="X15" s="306"/>
      <c r="Y15" s="307"/>
      <c r="Z15" s="307"/>
      <c r="AA15" s="569"/>
      <c r="AB15" s="570"/>
      <c r="AC15" s="570"/>
      <c r="AD15" s="571"/>
      <c r="AE15" s="572"/>
      <c r="AF15" s="573"/>
      <c r="AG15" s="332"/>
      <c r="AH15" s="332"/>
      <c r="AI15" s="335"/>
      <c r="AJ15" s="336"/>
      <c r="AK15" s="534"/>
      <c r="AL15" s="154"/>
      <c r="AM15" s="154"/>
      <c r="AN15" s="154"/>
      <c r="AO15" s="154"/>
      <c r="AP15" s="154"/>
      <c r="AQ15" s="154"/>
      <c r="AR15" s="534"/>
      <c r="AT15" s="574"/>
      <c r="AU15" s="575"/>
      <c r="AV15" s="576"/>
      <c r="AW15" s="576"/>
      <c r="AX15" s="577"/>
      <c r="AY15" s="578"/>
    </row>
    <row r="16" spans="1:53" ht="18.75" customHeight="1">
      <c r="A16" s="562" t="str">
        <f>IF($AL9&gt;4,"5","")</f>
        <v/>
      </c>
      <c r="B16" s="344" t="s">
        <v>5</v>
      </c>
      <c r="C16" s="345"/>
      <c r="D16" s="345"/>
      <c r="E16" s="346">
        <f>AU15</f>
        <v>0</v>
      </c>
      <c r="F16" s="347"/>
      <c r="G16" s="347"/>
      <c r="H16" s="347"/>
      <c r="I16" s="347"/>
      <c r="J16" s="347"/>
      <c r="K16" s="347"/>
      <c r="L16" s="348"/>
      <c r="M16" s="304">
        <f>IF($AL10=0,AG68,AG50)</f>
        <v>0</v>
      </c>
      <c r="N16" s="305"/>
      <c r="O16" s="305"/>
      <c r="P16" s="305"/>
      <c r="Q16" s="305"/>
      <c r="R16" s="297"/>
      <c r="S16" s="304">
        <f>IF($AL10=0,AH68,AH50)</f>
        <v>0</v>
      </c>
      <c r="T16" s="305"/>
      <c r="U16" s="305"/>
      <c r="V16" s="305"/>
      <c r="W16" s="305"/>
      <c r="X16" s="304">
        <f>AR28</f>
        <v>0</v>
      </c>
      <c r="Y16" s="305"/>
      <c r="Z16" s="305"/>
      <c r="AA16" s="563">
        <f>IF(AG62&gt;0,(AR28/AG62),0)</f>
        <v>0</v>
      </c>
      <c r="AB16" s="564"/>
      <c r="AC16" s="564"/>
      <c r="AD16" s="565">
        <f>IF(AG76=0,0,(AG68/AG76))</f>
        <v>0</v>
      </c>
      <c r="AE16" s="566"/>
      <c r="AF16" s="567"/>
      <c r="AG16" s="331"/>
      <c r="AH16" s="331"/>
      <c r="AI16" s="333"/>
      <c r="AJ16" s="334"/>
      <c r="AK16" s="534"/>
      <c r="AL16" s="154"/>
      <c r="AM16" s="154"/>
      <c r="AN16" s="154"/>
      <c r="AO16" s="154"/>
      <c r="AP16" s="154"/>
      <c r="AQ16" s="154"/>
      <c r="AR16" s="534"/>
      <c r="AT16" s="574"/>
      <c r="AU16" s="575"/>
      <c r="AV16" s="576"/>
      <c r="AW16" s="576"/>
      <c r="AX16" s="577"/>
      <c r="AY16" s="578"/>
    </row>
    <row r="17" spans="1:51" ht="18.75" customHeight="1" thickBot="1">
      <c r="A17" s="568"/>
      <c r="B17" s="359" t="s">
        <v>6</v>
      </c>
      <c r="C17" s="360"/>
      <c r="D17" s="360"/>
      <c r="E17" s="361">
        <f>AV15</f>
        <v>0</v>
      </c>
      <c r="F17" s="362"/>
      <c r="G17" s="362"/>
      <c r="H17" s="362"/>
      <c r="I17" s="362"/>
      <c r="J17" s="362"/>
      <c r="K17" s="362"/>
      <c r="L17" s="362"/>
      <c r="M17" s="349"/>
      <c r="N17" s="350"/>
      <c r="O17" s="350"/>
      <c r="P17" s="350"/>
      <c r="Q17" s="350"/>
      <c r="R17" s="297"/>
      <c r="S17" s="306"/>
      <c r="T17" s="307"/>
      <c r="U17" s="307"/>
      <c r="V17" s="307"/>
      <c r="W17" s="307"/>
      <c r="X17" s="306"/>
      <c r="Y17" s="307"/>
      <c r="Z17" s="307"/>
      <c r="AA17" s="569"/>
      <c r="AB17" s="570"/>
      <c r="AC17" s="570"/>
      <c r="AD17" s="571"/>
      <c r="AE17" s="572"/>
      <c r="AF17" s="573"/>
      <c r="AG17" s="332"/>
      <c r="AH17" s="356"/>
      <c r="AI17" s="335"/>
      <c r="AJ17" s="336"/>
      <c r="AK17" s="534"/>
      <c r="AL17" s="154"/>
      <c r="AM17" s="154"/>
      <c r="AN17" s="154"/>
      <c r="AO17" s="154"/>
      <c r="AP17" s="154"/>
      <c r="AQ17" s="154"/>
      <c r="AR17" s="534"/>
      <c r="AT17" s="155"/>
      <c r="AU17" s="156"/>
      <c r="AV17" s="157"/>
      <c r="AW17" s="157"/>
      <c r="AX17" s="158"/>
      <c r="AY17" s="159"/>
    </row>
    <row r="18" spans="1:51" ht="21" customHeight="1" thickTop="1" thickBot="1">
      <c r="A18" s="106"/>
      <c r="B18" s="363" t="s">
        <v>1251</v>
      </c>
      <c r="C18" s="364"/>
      <c r="D18" s="364"/>
      <c r="E18" s="364"/>
      <c r="F18" s="364"/>
      <c r="G18" s="364"/>
      <c r="H18" s="364"/>
      <c r="I18" s="364"/>
      <c r="J18" s="364"/>
      <c r="K18" s="364"/>
      <c r="L18" s="364"/>
      <c r="M18" s="364"/>
      <c r="N18" s="364"/>
      <c r="O18" s="364"/>
      <c r="P18" s="364"/>
      <c r="Q18" s="364"/>
      <c r="R18" s="364"/>
      <c r="S18" s="364"/>
      <c r="T18" s="364"/>
      <c r="U18" s="364"/>
      <c r="V18" s="364"/>
      <c r="W18" s="364"/>
      <c r="X18" s="364"/>
      <c r="Y18" s="364"/>
      <c r="Z18" s="364"/>
      <c r="AA18" s="364"/>
      <c r="AB18" s="364"/>
      <c r="AC18" s="364"/>
      <c r="AD18" s="364"/>
      <c r="AE18" s="364"/>
      <c r="AF18" s="364"/>
      <c r="AG18" s="364"/>
      <c r="AH18" s="364"/>
      <c r="AI18" s="364"/>
      <c r="AJ18" s="365"/>
      <c r="AK18" s="534"/>
      <c r="AL18" s="154"/>
      <c r="AM18" s="154"/>
      <c r="AN18" s="154"/>
      <c r="AO18" s="154"/>
      <c r="AP18" s="154"/>
      <c r="AQ18" s="154"/>
      <c r="AR18" s="534"/>
      <c r="AT18" s="366" t="s">
        <v>26</v>
      </c>
      <c r="AU18" s="367"/>
      <c r="AV18" s="367"/>
      <c r="AW18" s="367"/>
      <c r="AX18" s="367"/>
      <c r="AY18" s="368"/>
    </row>
    <row r="19" spans="1:51" ht="14.25" thickTop="1" thickBot="1">
      <c r="A19" s="3" t="s">
        <v>27</v>
      </c>
      <c r="B19" s="372">
        <v>0.35416666666666669</v>
      </c>
      <c r="C19" s="373"/>
      <c r="D19" s="374"/>
      <c r="E19" s="372">
        <v>0.39583333333333331</v>
      </c>
      <c r="F19" s="373"/>
      <c r="G19" s="374"/>
      <c r="H19" s="372">
        <v>0.4375</v>
      </c>
      <c r="I19" s="373"/>
      <c r="J19" s="374"/>
      <c r="K19" s="579"/>
      <c r="L19" s="372">
        <v>0.47916666666666669</v>
      </c>
      <c r="M19" s="373"/>
      <c r="N19" s="374"/>
      <c r="O19" s="372">
        <v>0.52083333333333337</v>
      </c>
      <c r="P19" s="373"/>
      <c r="Q19" s="374"/>
      <c r="R19" s="372">
        <v>6.25E-2</v>
      </c>
      <c r="S19" s="373"/>
      <c r="T19" s="374"/>
      <c r="U19" s="372"/>
      <c r="V19" s="373"/>
      <c r="W19" s="374"/>
      <c r="X19" s="372"/>
      <c r="Y19" s="373"/>
      <c r="Z19" s="374"/>
      <c r="AA19" s="372"/>
      <c r="AB19" s="373"/>
      <c r="AC19" s="374"/>
      <c r="AD19" s="372"/>
      <c r="AE19" s="373"/>
      <c r="AF19" s="374"/>
      <c r="AG19" s="375" t="s">
        <v>199</v>
      </c>
      <c r="AH19" s="376"/>
      <c r="AI19" s="376"/>
      <c r="AJ19" s="376"/>
      <c r="AK19" s="377"/>
      <c r="AL19" s="377"/>
      <c r="AM19" s="377"/>
      <c r="AN19" s="377"/>
      <c r="AO19" s="377"/>
      <c r="AP19" s="377"/>
      <c r="AQ19" s="377"/>
      <c r="AR19" s="378"/>
      <c r="AT19" s="369"/>
      <c r="AU19" s="370"/>
      <c r="AV19" s="370"/>
      <c r="AW19" s="370"/>
      <c r="AX19" s="370"/>
      <c r="AY19" s="371"/>
    </row>
    <row r="20" spans="1:51">
      <c r="A20" s="107" t="s">
        <v>28</v>
      </c>
      <c r="B20" s="383"/>
      <c r="C20" s="384"/>
      <c r="D20" s="385"/>
      <c r="E20" s="383"/>
      <c r="F20" s="384"/>
      <c r="G20" s="385"/>
      <c r="H20" s="383"/>
      <c r="I20" s="384"/>
      <c r="J20" s="385"/>
      <c r="K20" s="580"/>
      <c r="L20" s="383"/>
      <c r="M20" s="384"/>
      <c r="N20" s="385"/>
      <c r="O20" s="383"/>
      <c r="P20" s="384"/>
      <c r="Q20" s="385"/>
      <c r="R20" s="383"/>
      <c r="S20" s="384"/>
      <c r="T20" s="385"/>
      <c r="U20" s="383"/>
      <c r="V20" s="384"/>
      <c r="W20" s="385"/>
      <c r="X20" s="383"/>
      <c r="Y20" s="384"/>
      <c r="Z20" s="385"/>
      <c r="AA20" s="383"/>
      <c r="AB20" s="384"/>
      <c r="AC20" s="385"/>
      <c r="AD20" s="383"/>
      <c r="AE20" s="384"/>
      <c r="AF20" s="385"/>
      <c r="AG20" s="375"/>
      <c r="AH20" s="376"/>
      <c r="AI20" s="376"/>
      <c r="AJ20" s="376"/>
      <c r="AK20" s="376"/>
      <c r="AL20" s="376"/>
      <c r="AM20" s="376"/>
      <c r="AN20" s="376"/>
      <c r="AO20" s="376"/>
      <c r="AP20" s="376"/>
      <c r="AQ20" s="376"/>
      <c r="AR20" s="379"/>
      <c r="AW20" s="3"/>
    </row>
    <row r="21" spans="1:51">
      <c r="A21" s="107" t="s">
        <v>29</v>
      </c>
      <c r="B21" s="383"/>
      <c r="C21" s="384"/>
      <c r="D21" s="385"/>
      <c r="E21" s="383"/>
      <c r="F21" s="384"/>
      <c r="G21" s="385"/>
      <c r="H21" s="383"/>
      <c r="I21" s="384"/>
      <c r="J21" s="385"/>
      <c r="K21" s="580"/>
      <c r="L21" s="383"/>
      <c r="M21" s="384"/>
      <c r="N21" s="385"/>
      <c r="O21" s="383"/>
      <c r="P21" s="384"/>
      <c r="Q21" s="385"/>
      <c r="R21" s="383"/>
      <c r="S21" s="384"/>
      <c r="T21" s="385"/>
      <c r="U21" s="383"/>
      <c r="V21" s="384"/>
      <c r="W21" s="385"/>
      <c r="X21" s="383"/>
      <c r="Y21" s="384"/>
      <c r="Z21" s="385"/>
      <c r="AA21" s="383"/>
      <c r="AB21" s="384"/>
      <c r="AC21" s="385"/>
      <c r="AD21" s="383"/>
      <c r="AE21" s="384"/>
      <c r="AF21" s="385"/>
      <c r="AG21" s="375"/>
      <c r="AH21" s="376"/>
      <c r="AI21" s="376"/>
      <c r="AJ21" s="376"/>
      <c r="AK21" s="376"/>
      <c r="AL21" s="376"/>
      <c r="AM21" s="376"/>
      <c r="AN21" s="376"/>
      <c r="AO21" s="376"/>
      <c r="AP21" s="376"/>
      <c r="AQ21" s="376"/>
      <c r="AR21" s="379"/>
      <c r="AS21" s="132"/>
      <c r="AT21" s="132"/>
      <c r="AU21" s="132"/>
      <c r="AW21" s="3"/>
    </row>
    <row r="22" spans="1:51" ht="13.5" thickBot="1">
      <c r="A22" s="534"/>
      <c r="B22" s="386" t="s">
        <v>30</v>
      </c>
      <c r="C22" s="387"/>
      <c r="D22" s="388"/>
      <c r="E22" s="386" t="str">
        <f>IF(AL8&gt;1,"Match 2","")</f>
        <v>Match 2</v>
      </c>
      <c r="F22" s="387"/>
      <c r="G22" s="388"/>
      <c r="H22" s="386" t="str">
        <f>IF(AL8&gt;2,"Match 3","")</f>
        <v>Match 3</v>
      </c>
      <c r="I22" s="387"/>
      <c r="J22" s="388"/>
      <c r="K22" s="580"/>
      <c r="L22" s="386" t="str">
        <f>IF(AL8&gt;3,"Match 4","")</f>
        <v>Match 4</v>
      </c>
      <c r="M22" s="387"/>
      <c r="N22" s="388"/>
      <c r="O22" s="386" t="str">
        <f>IF(AL8&gt;4,"Match 5","")</f>
        <v>Match 5</v>
      </c>
      <c r="P22" s="387"/>
      <c r="Q22" s="388"/>
      <c r="R22" s="386" t="str">
        <f>IF(AL8&gt;5,"Match 6","")</f>
        <v>Match 6</v>
      </c>
      <c r="S22" s="387"/>
      <c r="T22" s="388"/>
      <c r="U22" s="386" t="str">
        <f>IF(AL8&gt;6,"Match 7","")</f>
        <v/>
      </c>
      <c r="V22" s="387"/>
      <c r="W22" s="388"/>
      <c r="X22" s="386" t="str">
        <f>IF(AL8&gt;7,"Match 8","")</f>
        <v/>
      </c>
      <c r="Y22" s="387"/>
      <c r="Z22" s="388"/>
      <c r="AA22" s="386" t="str">
        <f>IF(AL8&gt;8,"Match 9","")</f>
        <v/>
      </c>
      <c r="AB22" s="387"/>
      <c r="AC22" s="388"/>
      <c r="AD22" s="386" t="str">
        <f>IF(AL8&gt;9,"Match 10","")</f>
        <v/>
      </c>
      <c r="AE22" s="387"/>
      <c r="AF22" s="388"/>
      <c r="AG22" s="380"/>
      <c r="AH22" s="381"/>
      <c r="AI22" s="381"/>
      <c r="AJ22" s="381"/>
      <c r="AK22" s="381"/>
      <c r="AL22" s="381"/>
      <c r="AM22" s="381"/>
      <c r="AN22" s="381"/>
      <c r="AO22" s="381"/>
      <c r="AP22" s="381"/>
      <c r="AQ22" s="381"/>
      <c r="AR22" s="382"/>
      <c r="AS22" s="104"/>
      <c r="AT22" s="105"/>
      <c r="AU22" s="105"/>
      <c r="AW22" s="3"/>
    </row>
    <row r="23" spans="1:51" ht="15.75">
      <c r="A23" s="534"/>
      <c r="B23" s="389" t="s">
        <v>31</v>
      </c>
      <c r="C23" s="390"/>
      <c r="D23" s="391"/>
      <c r="E23" s="389" t="s">
        <v>32</v>
      </c>
      <c r="F23" s="390"/>
      <c r="G23" s="391"/>
      <c r="H23" s="389" t="s">
        <v>33</v>
      </c>
      <c r="I23" s="390"/>
      <c r="J23" s="391"/>
      <c r="K23" s="580"/>
      <c r="L23" s="389" t="s">
        <v>293</v>
      </c>
      <c r="M23" s="390"/>
      <c r="N23" s="391"/>
      <c r="O23" s="389" t="s">
        <v>32</v>
      </c>
      <c r="P23" s="390"/>
      <c r="Q23" s="391"/>
      <c r="R23" s="389" t="s">
        <v>33</v>
      </c>
      <c r="S23" s="390"/>
      <c r="T23" s="391"/>
      <c r="U23" s="389"/>
      <c r="V23" s="390"/>
      <c r="W23" s="391"/>
      <c r="X23" s="389"/>
      <c r="Y23" s="390"/>
      <c r="Z23" s="391"/>
      <c r="AA23" s="389"/>
      <c r="AB23" s="390"/>
      <c r="AC23" s="391"/>
      <c r="AD23" s="389"/>
      <c r="AE23" s="390"/>
      <c r="AF23" s="391"/>
      <c r="AG23" s="581" t="s">
        <v>34</v>
      </c>
      <c r="AH23" s="108">
        <v>1</v>
      </c>
      <c r="AI23" s="108">
        <v>2</v>
      </c>
      <c r="AJ23" s="108">
        <v>3</v>
      </c>
      <c r="AK23" s="108">
        <v>4</v>
      </c>
      <c r="AL23" s="108">
        <v>5</v>
      </c>
      <c r="AM23" s="108">
        <v>6</v>
      </c>
      <c r="AN23" s="108">
        <v>7</v>
      </c>
      <c r="AO23" s="108">
        <v>8</v>
      </c>
      <c r="AP23" s="108">
        <v>9</v>
      </c>
      <c r="AQ23" s="108">
        <v>10</v>
      </c>
      <c r="AR23" s="582" t="s">
        <v>200</v>
      </c>
      <c r="AS23" s="104"/>
      <c r="AT23" s="105"/>
      <c r="AU23" s="148"/>
      <c r="AV23" s="149"/>
      <c r="AW23" s="105"/>
      <c r="AX23" s="105"/>
      <c r="AY23" s="105"/>
    </row>
    <row r="24" spans="1:51" ht="15.75">
      <c r="A24" s="534"/>
      <c r="B24" s="109">
        <v>2</v>
      </c>
      <c r="C24" s="110" t="s">
        <v>35</v>
      </c>
      <c r="D24" s="111">
        <v>3</v>
      </c>
      <c r="E24" s="109">
        <v>1</v>
      </c>
      <c r="F24" s="110" t="str">
        <f>IF(AL8&gt;1,"v","")</f>
        <v>v</v>
      </c>
      <c r="G24" s="111">
        <v>4</v>
      </c>
      <c r="H24" s="109">
        <v>2</v>
      </c>
      <c r="I24" s="110" t="str">
        <f>IF(AL8&gt;2,"v","")</f>
        <v>v</v>
      </c>
      <c r="J24" s="111">
        <v>4</v>
      </c>
      <c r="K24" s="580"/>
      <c r="L24" s="109">
        <v>1</v>
      </c>
      <c r="M24" s="110" t="str">
        <f>IF(AL8&gt;3,"v","")</f>
        <v>v</v>
      </c>
      <c r="N24" s="111">
        <v>3</v>
      </c>
      <c r="O24" s="109">
        <v>3</v>
      </c>
      <c r="P24" s="110" t="str">
        <f>IF(AL8&gt;4,"v","")</f>
        <v>v</v>
      </c>
      <c r="Q24" s="111">
        <v>4</v>
      </c>
      <c r="R24" s="109">
        <v>1</v>
      </c>
      <c r="S24" s="110" t="str">
        <f>IF(AL8&gt;5,"v","")</f>
        <v>v</v>
      </c>
      <c r="T24" s="111">
        <v>2</v>
      </c>
      <c r="U24" s="109"/>
      <c r="V24" s="110" t="str">
        <f>IF(AL8&gt;6,"v","")</f>
        <v/>
      </c>
      <c r="W24" s="111"/>
      <c r="X24" s="109"/>
      <c r="Y24" s="110" t="str">
        <f>IF(AL8&gt;7,"v","")</f>
        <v/>
      </c>
      <c r="Z24" s="111"/>
      <c r="AA24" s="109"/>
      <c r="AB24" s="110" t="str">
        <f>IF(AL8&gt;8,"v","")</f>
        <v/>
      </c>
      <c r="AC24" s="111"/>
      <c r="AD24" s="109"/>
      <c r="AE24" s="110" t="str">
        <f>IF(AL8&gt;9,"v","")</f>
        <v/>
      </c>
      <c r="AF24" s="111"/>
      <c r="AG24" s="583" t="str">
        <f>IF(AL9&gt;0,"Team 1","")</f>
        <v>Team 1</v>
      </c>
      <c r="AH24" s="584" t="str">
        <f>IF(AL9&lt;1,"",IF(AL8&lt;1,"",IF(B24=1,B30-D30,IF(D24=1,D30-B30,""))))</f>
        <v/>
      </c>
      <c r="AI24" s="584">
        <f>IF(AL9&lt;1,"",IF(AL8&lt;2,"",IF(E24=1,E30-G30,IF(G24=1,G30-E30,""))))</f>
        <v>30</v>
      </c>
      <c r="AJ24" s="584" t="str">
        <f>IF(AL9&lt;1,"",IF(AL8&lt;3,"",IF(H24=1,H30-J30,IF(J24=1,J30-H30,""))))</f>
        <v/>
      </c>
      <c r="AK24" s="584">
        <f>IF(AL9&lt;1,"",IF(AL8&lt;4,"",IF(L24=1,L30-N30,IF(N24=1,N30-L30,""))))</f>
        <v>15</v>
      </c>
      <c r="AL24" s="584" t="str">
        <f>IF(AL9&lt;1,"",IF(AL8&lt;5,"",IF(O24=1,O30-Q30,IF(Q24=1,Q30-O30,""))))</f>
        <v/>
      </c>
      <c r="AM24" s="584">
        <f>IF(AL9&lt;1,"",IF(AL8&lt;6,"",IF(R24=1,R30-T30,IF(T24=1,T30-R30,""))))</f>
        <v>-11</v>
      </c>
      <c r="AN24" s="584" t="str">
        <f>IF(AL9&lt;1,"",IF(AL8&lt;7,"",IF(U24=1,U30-W30,IF(W24=1,W30-U30,""))))</f>
        <v/>
      </c>
      <c r="AO24" s="584" t="str">
        <f>IF(AL9&lt;1,"",IF(AL8&lt;8,"",IF(X24=1,X30-Z30,IF(Z24=1,Z30-X30,""))))</f>
        <v/>
      </c>
      <c r="AP24" s="584" t="str">
        <f>IF(AL9&lt;1,"",IF(AL8&lt;9,"",IF(AA24=1,AA30-AC30,IF(AC24=1,AC30-AA30,""))))</f>
        <v/>
      </c>
      <c r="AQ24" s="584" t="str">
        <f>IF(AL9&lt;1,"",IF(AL8&lt;10,"",IF(AD24=1,AD30-AF30,IF(AF24=1,AF30-AD30,""))))</f>
        <v/>
      </c>
      <c r="AR24" s="582">
        <f>SUM(AH24:AQ24)</f>
        <v>34</v>
      </c>
      <c r="AS24" s="104"/>
      <c r="AT24" s="105"/>
      <c r="AU24" s="148"/>
      <c r="AV24" s="149"/>
      <c r="AW24" s="105"/>
      <c r="AX24" s="105"/>
      <c r="AY24" s="105"/>
    </row>
    <row r="25" spans="1:51" ht="15">
      <c r="A25" s="3" t="s">
        <v>36</v>
      </c>
      <c r="B25" s="112">
        <v>17</v>
      </c>
      <c r="C25" s="113" t="s">
        <v>37</v>
      </c>
      <c r="D25" s="114">
        <v>18</v>
      </c>
      <c r="E25" s="112">
        <v>23</v>
      </c>
      <c r="F25" s="113" t="str">
        <f>IF(AL8&gt;1,"/","")</f>
        <v>/</v>
      </c>
      <c r="G25" s="114">
        <v>11</v>
      </c>
      <c r="H25" s="112">
        <v>21</v>
      </c>
      <c r="I25" s="113" t="str">
        <f>IF(AL8&gt;2,"/","")</f>
        <v>/</v>
      </c>
      <c r="J25" s="114">
        <v>18</v>
      </c>
      <c r="K25" s="580"/>
      <c r="L25" s="112">
        <v>23</v>
      </c>
      <c r="M25" s="113" t="str">
        <f>IF(AL8&gt;3,"/","")</f>
        <v>/</v>
      </c>
      <c r="N25" s="114">
        <v>11</v>
      </c>
      <c r="O25" s="112">
        <v>25</v>
      </c>
      <c r="P25" s="113" t="str">
        <f>IF(AL8&gt;4,"/","")</f>
        <v>/</v>
      </c>
      <c r="Q25" s="114">
        <v>16</v>
      </c>
      <c r="R25" s="112">
        <v>15</v>
      </c>
      <c r="S25" s="113" t="str">
        <f>IF(AL8&gt;5,"/","")</f>
        <v>/</v>
      </c>
      <c r="T25" s="114">
        <v>18</v>
      </c>
      <c r="U25" s="112"/>
      <c r="V25" s="113" t="str">
        <f>IF(AL8&gt;6,"/","")</f>
        <v/>
      </c>
      <c r="W25" s="114"/>
      <c r="X25" s="112"/>
      <c r="Y25" s="113" t="str">
        <f>IF(AL8&gt;7,"/","")</f>
        <v/>
      </c>
      <c r="Z25" s="114"/>
      <c r="AA25" s="112"/>
      <c r="AB25" s="113" t="str">
        <f>IF(AL8&gt;8,"/","")</f>
        <v/>
      </c>
      <c r="AC25" s="114"/>
      <c r="AD25" s="112"/>
      <c r="AE25" s="113" t="str">
        <f>IF(AL8&gt;9,"/","")</f>
        <v/>
      </c>
      <c r="AF25" s="114"/>
      <c r="AG25" s="583" t="str">
        <f>IF(AL9&gt;1,"Team 2","")</f>
        <v>Team 2</v>
      </c>
      <c r="AH25" s="584">
        <f>IF(AL9&lt;2,"",IF(AL8&lt;1,"",IF(B24=2,B30-D30,IF(D24=2,D30-B30,""))))</f>
        <v>8</v>
      </c>
      <c r="AI25" s="584" t="str">
        <f>IF(AL9&lt;2,"",IF(AL8&lt;2,"",IF(E24=2,E30-G30,IF(G24=2,G30-E30,""))))</f>
        <v/>
      </c>
      <c r="AJ25" s="584">
        <f>IF(AL9&lt;2,"",IF(AL8&lt;3,"",IF(H24=2,H30-J30,IF(J24=2,J30-H30,""))))</f>
        <v>12</v>
      </c>
      <c r="AK25" s="584" t="str">
        <f>IF(AL9&lt;2,"",IF(AL8&lt;4,"",IF(L24=2,L30-N30,IF(N24=2,N30-L30,""))))</f>
        <v/>
      </c>
      <c r="AL25" s="584" t="str">
        <f>IF(AL9&lt;2,"",IF(AL8&lt;5,"",IF(O24=2,O30-Q30,IF(Q24=2,Q30-O30,""))))</f>
        <v/>
      </c>
      <c r="AM25" s="584">
        <f>IF(AL9&lt;2,"",IF(AL8&lt;6,"",IF(R24=2,R30-T30,IF(T24=2,T30-R30,""))))</f>
        <v>11</v>
      </c>
      <c r="AN25" s="584" t="str">
        <f>IF(AL9&lt;2,"",IF(AL8&lt;7,"",IF(U24=2,U30-W30,IF(W24=2,W30-U30,""))))</f>
        <v/>
      </c>
      <c r="AO25" s="584" t="str">
        <f>IF(AL9&lt;2,"",IF(AL8&lt;8,"",IF(X24=2,X30-Z30,IF(Z24=2,Z30-X30,""))))</f>
        <v/>
      </c>
      <c r="AP25" s="584" t="str">
        <f>IF(AL9&lt;2,"",IF(AL8&lt;9,"",IF(AA24=2,AA30-AC30,IF(AC24=2,AC30-AA30,""))))</f>
        <v/>
      </c>
      <c r="AQ25" s="584" t="str">
        <f>IF(AL9&lt;2,"",IF(AL8&lt;10,"",IF(AD24=2,AD30-AF30,IF(AF24=2,AF30-AD30,""))))</f>
        <v/>
      </c>
      <c r="AR25" s="582">
        <f>SUM(AH25:AQ25)</f>
        <v>31</v>
      </c>
      <c r="AS25" s="132"/>
      <c r="AT25" s="132"/>
      <c r="AU25" s="148"/>
      <c r="AV25" s="149"/>
      <c r="AW25" s="3"/>
    </row>
    <row r="26" spans="1:51" ht="15">
      <c r="A26" s="46" t="str">
        <f>IF(AL7&gt;1,"Game 2","")</f>
        <v>Game 2</v>
      </c>
      <c r="B26" s="112">
        <v>20</v>
      </c>
      <c r="C26" s="113" t="s">
        <v>37</v>
      </c>
      <c r="D26" s="114">
        <v>11</v>
      </c>
      <c r="E26" s="112">
        <v>26</v>
      </c>
      <c r="F26" s="113" t="str">
        <f>IF(AL8&gt;1,IF(AL7&gt;1,"/",""),"")</f>
        <v>/</v>
      </c>
      <c r="G26" s="114">
        <v>8</v>
      </c>
      <c r="H26" s="112">
        <v>20</v>
      </c>
      <c r="I26" s="113" t="str">
        <f>IF(AL8&gt;2,IF(AL7&gt;1,"/",""),"")</f>
        <v>/</v>
      </c>
      <c r="J26" s="114">
        <v>11</v>
      </c>
      <c r="K26" s="580"/>
      <c r="L26" s="112">
        <v>19</v>
      </c>
      <c r="M26" s="113" t="str">
        <f>IF(AL8&gt;3,IF(AL7&gt;1,"/",""),"")</f>
        <v>/</v>
      </c>
      <c r="N26" s="114">
        <v>16</v>
      </c>
      <c r="O26" s="112">
        <v>24</v>
      </c>
      <c r="P26" s="113" t="str">
        <f>IF(AL8&gt;4,IF(AL7&gt;1,"/",""),"")</f>
        <v>/</v>
      </c>
      <c r="Q26" s="114">
        <v>20</v>
      </c>
      <c r="R26" s="112">
        <v>13</v>
      </c>
      <c r="S26" s="113" t="str">
        <f>IF(AL8&gt;5,IF(AL7&gt;1,"/",""),"")</f>
        <v>/</v>
      </c>
      <c r="T26" s="114">
        <v>21</v>
      </c>
      <c r="U26" s="112"/>
      <c r="V26" s="113" t="str">
        <f>IF(AL8&gt;6,IF(AL7&gt;1,"/",""),"")</f>
        <v/>
      </c>
      <c r="W26" s="114"/>
      <c r="X26" s="112"/>
      <c r="Y26" s="113" t="str">
        <f>IF(AL8&gt;7,IF(AL7&gt;1,"/",""),"")</f>
        <v/>
      </c>
      <c r="Z26" s="114"/>
      <c r="AA26" s="112"/>
      <c r="AB26" s="113" t="str">
        <f>IF(AL8&gt;8,IF(AL7&gt;1,"/",""),"")</f>
        <v/>
      </c>
      <c r="AC26" s="114"/>
      <c r="AD26" s="112"/>
      <c r="AE26" s="113" t="str">
        <f>IF(AL8&gt;9,IF(AL7&gt;1,"/",""),"")</f>
        <v/>
      </c>
      <c r="AF26" s="114"/>
      <c r="AG26" s="583" t="str">
        <f>IF(AL9&gt;2,"Team 3","")</f>
        <v>Team 3</v>
      </c>
      <c r="AH26" s="584">
        <f>IF(AL9&lt;3,"",IF(AL8&lt;1,"",IF(B24=3,B30-D30,IF(D24=3,D30-B30,""))))</f>
        <v>-8</v>
      </c>
      <c r="AI26" s="584" t="str">
        <f>IF(AL9&lt;3,"",IF(AL8&lt;2,"",IF(E24=3,E30-G30,IF(G24=3,G30-E30,""))))</f>
        <v/>
      </c>
      <c r="AJ26" s="584" t="str">
        <f>IF(AL9&lt;3,"",IF(AL8&lt;3,"",IF(H24=3,H30-J30,IF(J24=3,J30-H30,""))))</f>
        <v/>
      </c>
      <c r="AK26" s="584">
        <f>IF(AL9&lt;3,"",IF(AL8&lt;4,"",IF(L24=3,L30-N30,IF(N24=3,N30-L30,""))))</f>
        <v>-15</v>
      </c>
      <c r="AL26" s="584">
        <f>IF(AL9&lt;3,"",IF(AL8&lt;5,"",IF(O24=3,O30-Q30,IF(Q24=3,Q30-O30,""))))</f>
        <v>13</v>
      </c>
      <c r="AM26" s="584" t="str">
        <f>IF(AL9&lt;3,"",IF(AL8&lt;6,"",IF(R24=3,R30-T30,IF(T24=3,T30-R30,""))))</f>
        <v/>
      </c>
      <c r="AN26" s="584" t="str">
        <f>IF(AL9&lt;3,"",IF(AL8&lt;7,"",IF(U24=3,U30-W30,IF(W24=3,W30-U30,""))))</f>
        <v/>
      </c>
      <c r="AO26" s="584" t="str">
        <f>IF(AL9&lt;3,"",IF(AL8&lt;8,"",IF(X24=3,X30-Z30,IF(Z24=3,Z30-X30,""))))</f>
        <v/>
      </c>
      <c r="AP26" s="584" t="str">
        <f>IF(AL9&lt;3,"",IF(AL8&lt;9,"",IF(AA24=3,AA30-AC30,IF(AC24=3,AC30-AA30,""))))</f>
        <v/>
      </c>
      <c r="AQ26" s="584" t="str">
        <f>IF(AL9&lt;3,"",IF(AL8&lt;9,"",IF(AD24=3,AD30-AF30,IF(AF24=3,AF30-AD30,""))))</f>
        <v/>
      </c>
      <c r="AR26" s="582">
        <f>SUM(AH26:AQ26)</f>
        <v>-10</v>
      </c>
      <c r="AS26" s="132"/>
      <c r="AT26" s="132"/>
      <c r="AU26" s="148"/>
      <c r="AV26" s="149"/>
      <c r="AW26" s="3"/>
    </row>
    <row r="27" spans="1:51" ht="15">
      <c r="A27" s="46" t="str">
        <f>IF(AL7&gt;2,"Game 3","")</f>
        <v/>
      </c>
      <c r="B27" s="112"/>
      <c r="C27" s="113" t="s">
        <v>37</v>
      </c>
      <c r="D27" s="114"/>
      <c r="E27" s="112"/>
      <c r="F27" s="113" t="str">
        <f>IF(AL8&gt;1,IF(AL7&gt;2,"/",""),"")</f>
        <v/>
      </c>
      <c r="G27" s="114"/>
      <c r="H27" s="112"/>
      <c r="I27" s="113" t="str">
        <f>IF(AL8&gt;2,IF(AL7&gt;2,"/",""),"")</f>
        <v/>
      </c>
      <c r="J27" s="114"/>
      <c r="K27" s="580"/>
      <c r="L27" s="112"/>
      <c r="M27" s="113" t="str">
        <f>IF(AL8&gt;3,IF(AL7&gt;2,"/",""),"")</f>
        <v/>
      </c>
      <c r="N27" s="114"/>
      <c r="O27" s="112"/>
      <c r="P27" s="113" t="str">
        <f>IF(AL8&gt;4,IF(AL7&gt;2,"/",""),"")</f>
        <v/>
      </c>
      <c r="Q27" s="114"/>
      <c r="R27" s="112"/>
      <c r="S27" s="113" t="str">
        <f>IF(AL8&gt;5,IF(AL7&gt;2,"/",""),"")</f>
        <v/>
      </c>
      <c r="T27" s="114"/>
      <c r="U27" s="112"/>
      <c r="V27" s="113" t="str">
        <f>IF(AL8&gt;6,IF(AL7&gt;2,"/",""),"")</f>
        <v/>
      </c>
      <c r="W27" s="114"/>
      <c r="X27" s="112"/>
      <c r="Y27" s="113" t="str">
        <f>IF(AL8&gt;7,IF(AL7&gt;2,"/",""),"")</f>
        <v/>
      </c>
      <c r="Z27" s="114"/>
      <c r="AA27" s="112"/>
      <c r="AB27" s="113" t="str">
        <f>IF(AL8&gt;8,IF(AL7&gt;2,"/",""),"")</f>
        <v/>
      </c>
      <c r="AC27" s="114"/>
      <c r="AD27" s="112"/>
      <c r="AE27" s="113" t="str">
        <f>IF(AL8&gt;9,IF(AL7&gt;2,"/",""),"")</f>
        <v/>
      </c>
      <c r="AF27" s="114"/>
      <c r="AG27" s="583" t="str">
        <f>IF(AL9&gt;3,"Team 4","")</f>
        <v>Team 4</v>
      </c>
      <c r="AH27" s="584" t="str">
        <f>IF(AL9&lt;4,"",IF(AL8&lt;1,"",IF(B24=4,B30-D30,IF(D24=4,D30-B30,""))))</f>
        <v/>
      </c>
      <c r="AI27" s="584">
        <f>IF(AL9&lt;4,"",IF(AL8&lt;2,"",IF(E24=4,E30-G30,IF(G24=4,G30-E30,""))))</f>
        <v>-30</v>
      </c>
      <c r="AJ27" s="584">
        <f>IF(AL9&lt;4,"",IF(AL8&lt;3,"",IF(H24=4,H30-J30,IF(J24=4,J30-H30,""))))</f>
        <v>-12</v>
      </c>
      <c r="AK27" s="584" t="str">
        <f>IF(AL9&lt;4,"",IF(AL8&lt;4,"",IF(L24=4,L30-N30,IF(N24=4,N30-L30,""))))</f>
        <v/>
      </c>
      <c r="AL27" s="584">
        <f>IF(AL9&lt;4,"",IF(AL8&lt;5,"",IF(O24=4,O30-Q30,IF(Q24=4,Q30-O30,""))))</f>
        <v>-13</v>
      </c>
      <c r="AM27" s="584" t="str">
        <f>IF(AL9&lt;4,"",IF(AL8&lt;6,"",IF(R24=4,R30-T30,IF(T24=4,T30-R30,""))))</f>
        <v/>
      </c>
      <c r="AN27" s="584" t="str">
        <f>IF(AL9&lt;4,"",IF(AL8&lt;7,"",IF(U24=4,U30-W30,IF(W24=4,W30-U30,""))))</f>
        <v/>
      </c>
      <c r="AO27" s="584" t="str">
        <f>IF(AL9&lt;4,"",IF(AL8&lt;8,"",IF(X24=4,X30-Z30,IF(Z24=4,Z30-X30,""))))</f>
        <v/>
      </c>
      <c r="AP27" s="584" t="str">
        <f>IF(AL9&lt;4,"",IF(AL8&lt;9,"",IF(AA24=4,AA30-AC30,IF(AC24=4,AC30-AA30,""))))</f>
        <v/>
      </c>
      <c r="AQ27" s="584" t="str">
        <f>IF(AL9&lt;4,"",IF(AL8&lt;10,"",IF(AD24=4,AD30-AF30,IF(AF24=4,AF30-AD30,""))))</f>
        <v/>
      </c>
      <c r="AR27" s="582">
        <f>SUM(AH27:AQ27)</f>
        <v>-55</v>
      </c>
      <c r="AU27" s="148"/>
      <c r="AV27" s="149"/>
      <c r="AW27" s="3"/>
    </row>
    <row r="28" spans="1:51" ht="15">
      <c r="A28" s="46" t="str">
        <f>IF(AL7&gt;3,"Game 4","")</f>
        <v/>
      </c>
      <c r="B28" s="112"/>
      <c r="C28" s="113" t="s">
        <v>37</v>
      </c>
      <c r="D28" s="114"/>
      <c r="E28" s="112"/>
      <c r="F28" s="113" t="str">
        <f>IF(AL8&gt;1,IF(AL7&gt;3,"/",""),"")</f>
        <v/>
      </c>
      <c r="G28" s="114"/>
      <c r="H28" s="112"/>
      <c r="I28" s="113" t="str">
        <f>IF(AL8&gt;2,IF(AL7&gt;3,"/",""),"")</f>
        <v/>
      </c>
      <c r="J28" s="114"/>
      <c r="K28" s="580"/>
      <c r="L28" s="112"/>
      <c r="M28" s="113" t="str">
        <f>IF(AL8&gt;3,IF(AL7&gt;3,"/",""),"")</f>
        <v/>
      </c>
      <c r="N28" s="114"/>
      <c r="O28" s="112"/>
      <c r="P28" s="113" t="str">
        <f>IF(AL8&gt;4,IF(AL7&gt;3,"/",""),"")</f>
        <v/>
      </c>
      <c r="Q28" s="114"/>
      <c r="R28" s="112"/>
      <c r="S28" s="113" t="str">
        <f>IF(AL8&gt;5,IF(AL7&gt;3,"/",""),"")</f>
        <v/>
      </c>
      <c r="T28" s="114"/>
      <c r="U28" s="112"/>
      <c r="V28" s="113" t="str">
        <f>IF(AL8&gt;6,IF(AL7&gt;3,"/",""),"")</f>
        <v/>
      </c>
      <c r="W28" s="114"/>
      <c r="X28" s="112"/>
      <c r="Y28" s="113" t="str">
        <f>IF(AL8&gt;7,IF(AL7&gt;3,"/",""),"")</f>
        <v/>
      </c>
      <c r="Z28" s="114"/>
      <c r="AA28" s="112"/>
      <c r="AB28" s="113" t="str">
        <f>IF(AL8&gt;8,IF(AL7&gt;3,"/",""),"")</f>
        <v/>
      </c>
      <c r="AC28" s="114"/>
      <c r="AD28" s="112"/>
      <c r="AE28" s="113" t="str">
        <f>IF(AL8&gt;9,IF(AL7&gt;3,"/",""),"")</f>
        <v/>
      </c>
      <c r="AF28" s="114"/>
      <c r="AG28" s="583" t="str">
        <f>IF(AL9&gt;4,"Team 5","")</f>
        <v/>
      </c>
      <c r="AH28" s="585" t="str">
        <f>IF(AL9&lt;5,"",IF(AL8&lt;1,"",IF(B24=5,B30-D30,IF(D24=5,D30-B30,""))))</f>
        <v/>
      </c>
      <c r="AI28" s="584" t="str">
        <f>IF(AL9&lt;5,"",IF(AL8&lt;2,"",IF(E24=5,E30-G30,IF(G24=5,G30-E30,""))))</f>
        <v/>
      </c>
      <c r="AJ28" s="584" t="str">
        <f>IF(AL9&lt;5,"",IF(AL8&lt;3,"",IF(H24=5,H30-J30,IF(J24=5,J30-H30,""))))</f>
        <v/>
      </c>
      <c r="AK28" s="584" t="str">
        <f>IF(AL9&lt;5,"",IF(AL8&lt;4,"",IF(L24=5,L30-N30,IF(N24=5,N30-L30,""))))</f>
        <v/>
      </c>
      <c r="AL28" s="584" t="str">
        <f>IF(AL9&lt;5,"",IF(AL8&lt;5,"",IF(O24=5,O30-Q30,IF(Q24=5,Q30-O30,""))))</f>
        <v/>
      </c>
      <c r="AM28" s="584" t="str">
        <f>IF(AL9&lt;5,"",IF(AL8&lt;6,"",IF(R24=5,R30-T30,IF(T24=5,T30-R30,""))))</f>
        <v/>
      </c>
      <c r="AN28" s="584" t="str">
        <f>IF(AL9&lt;5,"",IF(AL8&lt;7,"",IF(U24=5,U30-W30,IF(W24=5,W30-U30,""))))</f>
        <v/>
      </c>
      <c r="AO28" s="584" t="str">
        <f>IF(AL9&lt;5,"",IF(AL8&lt;8,"",IF(X24=5,X30-Z30,IF(Z24=5,Z30-X30,""))))</f>
        <v/>
      </c>
      <c r="AP28" s="584" t="str">
        <f>IF(AL9&lt;5,"",IF(AL8&lt;9,"",IF(AA24=5,AA30-AC30,IF(AC24=5,AC30-AA30,""))))</f>
        <v/>
      </c>
      <c r="AQ28" s="584" t="str">
        <f>IF(AL9&lt;5,"",IF(AL8&lt;10,"",IF(AD24=5,AD30-AF30,IF(AF24=5,AF30-AD30,""))))</f>
        <v/>
      </c>
      <c r="AR28" s="582">
        <f>SUM(AH28:AQ28)</f>
        <v>0</v>
      </c>
      <c r="AU28" s="148"/>
      <c r="AV28" s="149"/>
      <c r="AW28" s="132"/>
      <c r="AX28" s="132"/>
      <c r="AY28" s="132"/>
    </row>
    <row r="29" spans="1:51" ht="15">
      <c r="A29" s="46" t="str">
        <f>IF(AL7&gt;4,"Game 5","")</f>
        <v/>
      </c>
      <c r="B29" s="112"/>
      <c r="C29" s="113" t="s">
        <v>37</v>
      </c>
      <c r="D29" s="114"/>
      <c r="E29" s="112"/>
      <c r="F29" s="113" t="str">
        <f>IF(AL8&gt;1,IF(AL7&gt;4,"/",""),"")</f>
        <v/>
      </c>
      <c r="G29" s="114"/>
      <c r="H29" s="112"/>
      <c r="I29" s="113" t="str">
        <f>IF(AL8&gt;2,IF(AL7&gt;4,"/",""),"")</f>
        <v/>
      </c>
      <c r="J29" s="114"/>
      <c r="K29" s="586"/>
      <c r="L29" s="112"/>
      <c r="M29" s="113" t="str">
        <f>IF(AL8&gt;3,IF(AL7&gt;4,"/",""),"")</f>
        <v/>
      </c>
      <c r="N29" s="114"/>
      <c r="O29" s="112"/>
      <c r="P29" s="113" t="str">
        <f>IF(AL8&gt;4,IF(AL7&gt;4,"/",""),"")</f>
        <v/>
      </c>
      <c r="Q29" s="114"/>
      <c r="R29" s="112"/>
      <c r="S29" s="113" t="str">
        <f>IF(AL8&gt;5,IF(AL7&gt;4,"/",""),"")</f>
        <v/>
      </c>
      <c r="T29" s="114"/>
      <c r="U29" s="112"/>
      <c r="V29" s="113" t="str">
        <f>IF(AL8&gt;6,IF(AL7&gt;4,"/",""),"")</f>
        <v/>
      </c>
      <c r="W29" s="114"/>
      <c r="X29" s="112"/>
      <c r="Y29" s="113" t="str">
        <f>IF(AL8&gt;7,IF(AL7&gt;4,"/",""),"")</f>
        <v/>
      </c>
      <c r="Z29" s="114"/>
      <c r="AA29" s="112"/>
      <c r="AB29" s="113" t="str">
        <f>IF(AL8&gt;8,IF(AL7&gt;4,"/",""),"")</f>
        <v/>
      </c>
      <c r="AC29" s="114"/>
      <c r="AD29" s="112"/>
      <c r="AE29" s="113" t="str">
        <f>IF(AL8&gt;9,IF(AL7&gt;4,"/",""),"")</f>
        <v/>
      </c>
      <c r="AF29" s="114"/>
      <c r="AG29" s="534"/>
      <c r="AH29" s="534"/>
      <c r="AI29" s="534"/>
      <c r="AJ29" s="534"/>
      <c r="AK29" s="534"/>
      <c r="AL29" s="534"/>
      <c r="AM29" s="534"/>
      <c r="AN29" s="534"/>
      <c r="AO29" s="534"/>
      <c r="AP29" s="534"/>
      <c r="AQ29" s="534"/>
      <c r="AR29" s="534"/>
      <c r="AU29" s="148"/>
      <c r="AV29" s="149"/>
      <c r="AW29" s="132"/>
      <c r="AX29" s="132"/>
      <c r="AY29" s="132"/>
    </row>
    <row r="30" spans="1:51">
      <c r="A30" s="116"/>
      <c r="B30" s="116">
        <f>IF($AL7=5,SUM(B25:B29),IF($AL7=4,SUM(B25:B28),IF($AL7=3,SUM(B25:B27),IF($AL7=2,SUM(B25:B26),B25))))</f>
        <v>37</v>
      </c>
      <c r="C30" s="116"/>
      <c r="D30" s="116">
        <f>IF($AL7=5,SUM(D25:D29),IF($AL7=4,SUM(D25:D28),IF($AL7=3,SUM(D25:D27),IF($AL7=2,SUM(D25:D26),D25))))</f>
        <v>29</v>
      </c>
      <c r="E30" s="116">
        <f>IF($AL7=5,SUM(E25:E29),IF($AL7=4,SUM(E25:E28),IF($AL7=3,SUM(E25:E27),IF($AL7=2,SUM(E25:E26),E25))))</f>
        <v>49</v>
      </c>
      <c r="F30" s="116"/>
      <c r="G30" s="116">
        <f>IF($AL7=5,SUM(G25:G29),IF($AL7=4,SUM(G25:G28),IF($AL7=3,SUM(G25:G27),IF($AL7=2,SUM(G25:G26),G25))))</f>
        <v>19</v>
      </c>
      <c r="H30" s="116">
        <f>IF($AL7=5,SUM(H25:H29),IF($AL7=4,SUM(H25:H28),IF($AL7=3,SUM(H25:H27),IF($AL7=2,SUM(H25:H26),H25))))</f>
        <v>41</v>
      </c>
      <c r="I30" s="116"/>
      <c r="J30" s="116">
        <f>IF($AL7=5,SUM(J25:J29),IF($AL7=4,SUM(J25:J28),IF($AL7=3,SUM(J25:J27),IF($AL7=2,SUM(J25:J26),J25))))</f>
        <v>29</v>
      </c>
      <c r="K30" s="116"/>
      <c r="L30" s="116">
        <f>IF($AL7=5,SUM(L25:L29),IF($AL7=4,SUM(L25:L28),IF($AL7=3,SUM(L25:L27),IF($AL7=2,SUM(L25:L26),L25))))</f>
        <v>42</v>
      </c>
      <c r="M30" s="116"/>
      <c r="N30" s="116">
        <f>IF($AL7=5,SUM(N25:N29),IF($AL7=4,SUM(N25:N28),IF($AL7=3,SUM(N25:N27),IF($AL7=2,SUM(N25:N26),N25))))</f>
        <v>27</v>
      </c>
      <c r="O30" s="116">
        <f>IF($AL7=5,SUM(O25:O29),IF($AL7=4,SUM(O25:O28),IF($AL7=3,SUM(O25:O27),IF($AL7=2,SUM(O25:O26),O25))))</f>
        <v>49</v>
      </c>
      <c r="P30" s="116"/>
      <c r="Q30" s="116">
        <f>IF($AL7=5,SUM(Q25:Q29),IF($AL7=4,SUM(Q25:Q28),IF($AL7=3,SUM(Q25:Q27),IF($AL7=2,SUM(Q25:Q26),Q25))))</f>
        <v>36</v>
      </c>
      <c r="R30" s="116">
        <f>IF($AL7=5,SUM(R25:R29),IF($AL7=4,SUM(R25:R28),IF($AL7=3,SUM(R25:R27),IF($AL7=2,SUM(R25:R26),R25))))</f>
        <v>28</v>
      </c>
      <c r="S30" s="116"/>
      <c r="T30" s="116">
        <f>IF($AL7=5,SUM(T25:T29),IF($AL7=4,SUM(T25:T28),IF($AL7=3,SUM(T25:T27),IF($AL7=2,SUM(T25:T26),T25))))</f>
        <v>39</v>
      </c>
      <c r="U30" s="116">
        <f>IF($AL7=5,SUM(U25:U29),IF($AL7=4,SUM(U25:U28),IF($AL7=3,SUM(U25:U27),IF($AL7=2,SUM(U25:U26),U25))))</f>
        <v>0</v>
      </c>
      <c r="V30" s="116"/>
      <c r="W30" s="116">
        <f>IF($AL7=5,SUM(W25:W29),IF($AL7=4,SUM(W25:W28),IF($AL7=3,SUM(W25:W27),IF($AL7=2,SUM(W25:W26),W25))))</f>
        <v>0</v>
      </c>
      <c r="X30" s="116">
        <f>IF($AL7=5,SUM(X25:X29),IF($AL7=4,SUM(X25:X28),IF($AL7=3,SUM(X25:X27),IF($AL7=2,SUM(X25:X26),X25))))</f>
        <v>0</v>
      </c>
      <c r="Y30" s="116"/>
      <c r="Z30" s="116">
        <f>IF($AL7=5,SUM(Z25:Z29),IF($AL7=4,SUM(Z25:Z28),IF($AL7=3,SUM(Z25:Z27),IF($AL7=2,SUM(Z25:Z26),Z25))))</f>
        <v>0</v>
      </c>
      <c r="AA30" s="116">
        <f>IF($AL7=5,SUM(AA25:AA29),IF($AL7=4,SUM(AA25:AA28),IF($AL7=3,SUM(AA25:AA27),IF($AL7=2,SUM(AA25:AA26),AA25))))</f>
        <v>0</v>
      </c>
      <c r="AB30" s="116"/>
      <c r="AC30" s="116">
        <f>IF($AL7=5,SUM(AC25:AC29),IF($AL7=4,SUM(AC25:AC28),IF($AL7=3,SUM(AC25:AC27),IF($AL7=2,SUM(AC25:AC26),AC25))))</f>
        <v>0</v>
      </c>
      <c r="AD30" s="116">
        <f>IF($AL7=5,SUM(AD25:AD29),IF($AL7=4,SUM(AD25:AD28),IF($AL7=3,SUM(AD25:AD27),IF($AL7=2,SUM(AD25:AD26),AD25))))</f>
        <v>0</v>
      </c>
      <c r="AE30" s="116"/>
      <c r="AF30" s="116">
        <f>IF($AL7=5,SUM(AF25:AF29),IF($AL7=4,SUM(AF25:AF28),IF($AL7=3,SUM(AF25:AF27),IF($AL7=2,SUM(AF25:AF26),AF25))))</f>
        <v>0</v>
      </c>
      <c r="AG30" s="534"/>
      <c r="AH30" s="534"/>
      <c r="AI30" s="534"/>
      <c r="AJ30" s="534"/>
      <c r="AK30" s="534"/>
      <c r="AL30" s="534"/>
      <c r="AM30" s="534"/>
      <c r="AN30" s="534"/>
      <c r="AO30" s="534"/>
      <c r="AP30" s="534"/>
      <c r="AQ30" s="534"/>
      <c r="AR30" s="534"/>
      <c r="AU30" s="148"/>
      <c r="AV30" s="149"/>
    </row>
    <row r="31" spans="1:51" s="115" customFormat="1" ht="12.75" hidden="1" customHeight="1">
      <c r="A31" s="115" t="s">
        <v>201</v>
      </c>
      <c r="B31" s="164">
        <f>IF(AND(B25&gt;D25,$AL8&gt;0,ISNUMBER(B25),ISNUMBER(D25)),1,0)</f>
        <v>0</v>
      </c>
      <c r="C31" s="164"/>
      <c r="D31" s="165">
        <f>IF(AND(D25&gt;B25,$AL8&gt;0,ISNUMBER(B25),ISNUMBER(D25)),1,0)</f>
        <v>1</v>
      </c>
      <c r="E31" s="164">
        <f>IF(AND(E25&gt;G25,$AL8&gt;1,ISNUMBER(E25),ISNUMBER(G25)),1,0)</f>
        <v>1</v>
      </c>
      <c r="F31" s="164"/>
      <c r="G31" s="165">
        <f>IF(AND(G25&gt;E25,$AL8&gt;1,ISNUMBER(E25),ISNUMBER(G25)),1,0)</f>
        <v>0</v>
      </c>
      <c r="H31" s="164">
        <f>IF(AND(H25&gt;J25,$AL8&gt;2,ISNUMBER(H25),ISNUMBER(J25)),1,0)</f>
        <v>1</v>
      </c>
      <c r="I31" s="164"/>
      <c r="J31" s="165">
        <f>IF(AND(J25&gt;H25,$AL8&gt;2,ISNUMBER(H25),ISNUMBER(J25)),1,0)</f>
        <v>0</v>
      </c>
      <c r="K31" s="168"/>
      <c r="L31" s="164">
        <f>IF(AND(L25&gt;N25,$AL8&gt;3,ISNUMBER(L25),ISNUMBER(N25)),1,0)</f>
        <v>1</v>
      </c>
      <c r="M31" s="164"/>
      <c r="N31" s="165">
        <f>IF(AND(N25&gt;L25,$AL8&gt;3,ISNUMBER(L25),ISNUMBER(N25)),1,0)</f>
        <v>0</v>
      </c>
      <c r="O31" s="164">
        <f>IF(AND(O25&gt;Q25,$AL8&gt;4,ISNUMBER(O25),ISNUMBER(Q25)),1,0)</f>
        <v>1</v>
      </c>
      <c r="P31" s="164"/>
      <c r="Q31" s="165">
        <f>IF(AND(Q25&gt;O25,$AL8&gt;4,ISNUMBER(O25),ISNUMBER(Q25)),1,0)</f>
        <v>0</v>
      </c>
      <c r="R31" s="164">
        <f>IF(AND(R25&gt;T25,$AL8&gt;5,ISNUMBER(R25),ISNUMBER(T25)),1,0)</f>
        <v>0</v>
      </c>
      <c r="S31" s="164"/>
      <c r="T31" s="165">
        <f>IF(AND(T25&gt;R25,$AL8&gt;5,ISNUMBER(R25),ISNUMBER(T25)),1,0)</f>
        <v>1</v>
      </c>
      <c r="U31" s="164">
        <f>IF(AND(U25&gt;W25,$AL8&gt;6,ISNUMBER(U25),ISNUMBER(W25)),1,0)</f>
        <v>0</v>
      </c>
      <c r="V31" s="164"/>
      <c r="W31" s="165">
        <f>IF(AND(W25&gt;U25,$AL8&gt;6,ISNUMBER(U25),ISNUMBER(W25)),1,0)</f>
        <v>0</v>
      </c>
      <c r="X31" s="164">
        <f>IF(AND(X25&gt;Z25,$AL8&gt;7,ISNUMBER(X25),ISNUMBER(Z25)),1,0)</f>
        <v>0</v>
      </c>
      <c r="Y31" s="164"/>
      <c r="Z31" s="165">
        <f>IF(AND(Z25&gt;X25,$AL8&gt;7,ISNUMBER(X25),ISNUMBER(Z25)),1,0)</f>
        <v>0</v>
      </c>
      <c r="AA31" s="164">
        <f>IF(AND(AA25&gt;AC25,$AL8&gt;8,ISNUMBER(AA25),ISNUMBER(AC25)),1,0)</f>
        <v>0</v>
      </c>
      <c r="AB31" s="164"/>
      <c r="AC31" s="165">
        <f>IF(AND(AC25&gt;AA25,$AL8&gt;8,ISNUMBER(AA25),ISNUMBER(AC25)),1,0)</f>
        <v>0</v>
      </c>
      <c r="AD31" s="164">
        <f>IF(AND(AD25&gt;AF25,$AL8&gt;9,ISNUMBER(AD25),ISNUMBER(AF25)),1,0)</f>
        <v>0</v>
      </c>
      <c r="AE31" s="164"/>
      <c r="AF31" s="165">
        <f>IF(AND(AF25&gt;AD25,$AL8&gt;9,ISNUMBER(AD25),ISNUMBER(AF25)),1,0)</f>
        <v>0</v>
      </c>
      <c r="AU31" s="148"/>
      <c r="AV31" s="149"/>
      <c r="AW31" s="166"/>
    </row>
    <row r="32" spans="1:51" s="115" customFormat="1" ht="12.75" hidden="1" customHeight="1">
      <c r="A32" s="115" t="s">
        <v>202</v>
      </c>
      <c r="B32" s="164">
        <f>IF(AND(B26&gt;D26,$AL8&gt;0,$AL7&gt;1,ISNUMBER(B26),ISNUMBER(D26)),1,0)</f>
        <v>1</v>
      </c>
      <c r="C32" s="164"/>
      <c r="D32" s="165">
        <f>IF(AND(D26&gt;B26,$AL8&gt;0,$AL7&gt;1,ISNUMBER(B26),ISNUMBER(D26)),1,0)</f>
        <v>0</v>
      </c>
      <c r="E32" s="164">
        <f>IF(AND(E26&gt;G26,$AL8&gt;1,$AL7&gt;1,ISNUMBER(E26),ISNUMBER(G26)),1,0)</f>
        <v>1</v>
      </c>
      <c r="F32" s="164"/>
      <c r="G32" s="165">
        <f>IF(AND(G26&gt;E26,$AL8&gt;1,$AL7&gt;1,ISNUMBER(E26),ISNUMBER(G26)),1,0)</f>
        <v>0</v>
      </c>
      <c r="H32" s="164">
        <f>IF(AND(H26&gt;J26,$AL8&gt;2,$AL7&gt;1,ISNUMBER(H26),ISNUMBER(J26)),1,0)</f>
        <v>1</v>
      </c>
      <c r="I32" s="164"/>
      <c r="J32" s="165">
        <f>IF(AND(J26&gt;H26,$AL8&gt;2,$AL7&gt;1,ISNUMBER(H26),ISNUMBER(J26)),1,0)</f>
        <v>0</v>
      </c>
      <c r="K32" s="168"/>
      <c r="L32" s="164">
        <f>IF(AND(L26&gt;N26,$AL8&gt;3,$AL7&gt;1,ISNUMBER(L26),ISNUMBER(N26)),1,0)</f>
        <v>1</v>
      </c>
      <c r="M32" s="164"/>
      <c r="N32" s="165">
        <f>IF(AND(N26&gt;L26,$AL8&gt;3,$AL7&gt;1,ISNUMBER(L26),ISNUMBER(N26)),1,0)</f>
        <v>0</v>
      </c>
      <c r="O32" s="164">
        <f>IF(AND(O26&gt;Q26,$AL8&gt;4,$AL7&gt;1,ISNUMBER(O26),ISNUMBER(Q26)),1,0)</f>
        <v>1</v>
      </c>
      <c r="P32" s="164"/>
      <c r="Q32" s="165">
        <f>IF(AND(Q26&gt;O26,$AL8&gt;4,$AL7&gt;1,ISNUMBER(O26),ISNUMBER(Q26)),1,0)</f>
        <v>0</v>
      </c>
      <c r="R32" s="164">
        <f>IF(AND(R26&gt;T26,$AL8&gt;5,$AL7&gt;1,ISNUMBER(R26),ISNUMBER(T26)),1,0)</f>
        <v>0</v>
      </c>
      <c r="S32" s="164"/>
      <c r="T32" s="165">
        <f>IF(AND(T26&gt;R26,$AL8&gt;5,$AL7&gt;1,ISNUMBER(R26),ISNUMBER(T26)),1,0)</f>
        <v>1</v>
      </c>
      <c r="U32" s="164">
        <f>IF(AND(U26&gt;W26,$AL8&gt;6,$AL7&gt;1,ISNUMBER(U26),ISNUMBER(W26)),1,0)</f>
        <v>0</v>
      </c>
      <c r="V32" s="164"/>
      <c r="W32" s="165">
        <f>IF(AND(W26&gt;U26,$AL8&gt;6,$AL7&gt;1,ISNUMBER(U26),ISNUMBER(W26)),1,0)</f>
        <v>0</v>
      </c>
      <c r="X32" s="164">
        <f>IF(AND(X26&gt;Z26,$AL8&gt;7,$AL7&gt;1,ISNUMBER(X26),ISNUMBER(Z26)),1,0)</f>
        <v>0</v>
      </c>
      <c r="Y32" s="164"/>
      <c r="Z32" s="165">
        <f>IF(AND(Z26&gt;X26,$AL8&gt;7,$AL7&gt;1,ISNUMBER(X26),ISNUMBER(Z26)),1,0)</f>
        <v>0</v>
      </c>
      <c r="AA32" s="164">
        <f>IF(AND(AA26&gt;AC26,$AL8&gt;8,$AL7&gt;1,ISNUMBER(AA26),ISNUMBER(AC26)),1,0)</f>
        <v>0</v>
      </c>
      <c r="AB32" s="164"/>
      <c r="AC32" s="165">
        <f>IF(AND(AC26&gt;AA26,$AL8&gt;8,$AL7&gt;1,ISNUMBER(AA26),ISNUMBER(AC26)),1,0)</f>
        <v>0</v>
      </c>
      <c r="AD32" s="164">
        <f>IF(AND(AD26&gt;AF26,$AL8&gt;9,$AL7&gt;1,ISNUMBER(AD26),ISNUMBER(AF26)),1,0)</f>
        <v>0</v>
      </c>
      <c r="AE32" s="164"/>
      <c r="AF32" s="165">
        <f>IF(AND(AF26&gt;AD26,$AL8&gt;9,$AL7&gt;1,ISNUMBER(AD26),ISNUMBER(AF26)),1,0)</f>
        <v>0</v>
      </c>
      <c r="AU32" s="148"/>
      <c r="AV32" s="149"/>
      <c r="AW32" s="166"/>
    </row>
    <row r="33" spans="1:49" s="115" customFormat="1" ht="12.75" hidden="1" customHeight="1">
      <c r="A33" s="115" t="s">
        <v>203</v>
      </c>
      <c r="B33" s="164">
        <f>IF(AND(B27&gt;D27,$AL8&gt;0,$AL7&gt;2,ISNUMBER(B27),ISNUMBER(D27)),1,0)</f>
        <v>0</v>
      </c>
      <c r="C33" s="164"/>
      <c r="D33" s="165">
        <f>IF(AND(D27&gt;B27,$AL8&gt;0,$AL7&gt;2,ISNUMBER(B27),ISNUMBER(D27)),1,0)</f>
        <v>0</v>
      </c>
      <c r="E33" s="164">
        <f>IF(AND(E27&gt;G27,$AL8&gt;1,$AL7&gt;2,ISNUMBER(E27),ISNUMBER(G27)),1,0)</f>
        <v>0</v>
      </c>
      <c r="F33" s="164"/>
      <c r="G33" s="165">
        <f>IF(AND(G27&gt;E27,$AL8&gt;1,$AL7&gt;2,ISNUMBER(E27),ISNUMBER(G27)),1,0)</f>
        <v>0</v>
      </c>
      <c r="H33" s="164">
        <f>IF(AND(H27&gt;J27,$AL8&gt;2,$AL7&gt;2,ISNUMBER(H27),ISNUMBER(J27)),1,0)</f>
        <v>0</v>
      </c>
      <c r="I33" s="164"/>
      <c r="J33" s="165">
        <f>IF(AND(J27&gt;H27,$AL8&gt;2,$AL7&gt;2,ISNUMBER(H27),ISNUMBER(J27)),1,0)</f>
        <v>0</v>
      </c>
      <c r="K33" s="168"/>
      <c r="L33" s="164">
        <f>IF(AND(L27&gt;N27,$AL8&gt;3,$AL7&gt;2,ISNUMBER(L27),ISNUMBER(N27)),1,0)</f>
        <v>0</v>
      </c>
      <c r="M33" s="164"/>
      <c r="N33" s="165">
        <f>IF(AND(N27&gt;L27,$AL8&gt;3,$AL7&gt;2,ISNUMBER(L27),ISNUMBER(N27)),1,0)</f>
        <v>0</v>
      </c>
      <c r="O33" s="164">
        <f>IF(AND(O27&gt;Q27,$AL8&gt;4,$AL7&gt;2,ISNUMBER(O27),ISNUMBER(Q27)),1,0)</f>
        <v>0</v>
      </c>
      <c r="P33" s="164"/>
      <c r="Q33" s="165">
        <f>IF(AND(Q27&gt;O27,$AL8&gt;4,$AL7&gt;2,ISNUMBER(O27),ISNUMBER(Q27)),1,0)</f>
        <v>0</v>
      </c>
      <c r="R33" s="164">
        <f>IF(AND(R27&gt;T27,$AL8&gt;5,$AL7&gt;2,ISNUMBER(R27),ISNUMBER(T27)),1,0)</f>
        <v>0</v>
      </c>
      <c r="S33" s="164"/>
      <c r="T33" s="165">
        <f>IF(AND(T27&gt;R27,$AL8&gt;5,$AL7&gt;2,ISNUMBER(R27),ISNUMBER(T27)),1,0)</f>
        <v>0</v>
      </c>
      <c r="U33" s="164">
        <f>IF(AND(U27&gt;W27,$AL8&gt;6,$AL7&gt;2,ISNUMBER(U27),ISNUMBER(W27)),1,0)</f>
        <v>0</v>
      </c>
      <c r="V33" s="164"/>
      <c r="W33" s="165">
        <f>IF(AND(W27&gt;U27,$AL8&gt;6,$AL7&gt;2,ISNUMBER(U27),ISNUMBER(W27)),1,0)</f>
        <v>0</v>
      </c>
      <c r="X33" s="164">
        <f>IF(AND(X27&gt;Z27,$AL8&gt;7,$AL7&gt;2,ISNUMBER(X27),ISNUMBER(Z27)),1,0)</f>
        <v>0</v>
      </c>
      <c r="Y33" s="164"/>
      <c r="Z33" s="165">
        <f>IF(AND(Z27&gt;X27,$AL8&gt;7,$AL7&gt;2,ISNUMBER(X27),ISNUMBER(Z27)),1,0)</f>
        <v>0</v>
      </c>
      <c r="AA33" s="164">
        <f>IF(AND(AA27&gt;AC27,$AL8&gt;8,$AL7&gt;2,ISNUMBER(AA27),ISNUMBER(AC27)),1,0)</f>
        <v>0</v>
      </c>
      <c r="AB33" s="164"/>
      <c r="AC33" s="165">
        <f>IF(AND(AC27&gt;AA27,$AL8&gt;8,$AL7&gt;2,ISNUMBER(AA27),ISNUMBER(AC27)),1,0)</f>
        <v>0</v>
      </c>
      <c r="AD33" s="164">
        <f>IF(AND(AD27&gt;AF27,$AL8&gt;9,$AL7&gt;2,ISNUMBER(AD27),ISNUMBER(AF27)),1,0)</f>
        <v>0</v>
      </c>
      <c r="AE33" s="164"/>
      <c r="AF33" s="165">
        <f>IF(AND(AF27&gt;AD27,$AL8&gt;9,$AL7&gt;2,ISNUMBER(AD27),ISNUMBER(AF27)),1,0)</f>
        <v>0</v>
      </c>
      <c r="AW33" s="166"/>
    </row>
    <row r="34" spans="1:49" s="115" customFormat="1" ht="12.75" hidden="1" customHeight="1">
      <c r="A34" s="115" t="s">
        <v>204</v>
      </c>
      <c r="B34" s="164">
        <f>IF(AND(B28&gt;D28,$AL8&gt;0,$AL7&gt;3,ISNUMBER(B28),ISNUMBER(D28)),1,0)</f>
        <v>0</v>
      </c>
      <c r="C34" s="164"/>
      <c r="D34" s="165">
        <f>IF(AND(D28&gt;B28,$AL8&gt;0,$AL7&gt;3,ISNUMBER(B28),ISNUMBER(D28)),1,0)</f>
        <v>0</v>
      </c>
      <c r="E34" s="164">
        <f>IF(AND(E28&gt;G28,$AL8&gt;1,$AL7&gt;3,ISNUMBER(E28),ISNUMBER(G28)),1,0)</f>
        <v>0</v>
      </c>
      <c r="F34" s="164"/>
      <c r="G34" s="165">
        <f>IF(AND(G28&gt;E28,$AL8&gt;1,$AL7&gt;3,ISNUMBER(E28),ISNUMBER(G28)),1,0)</f>
        <v>0</v>
      </c>
      <c r="H34" s="164">
        <f>IF(AND(H28&gt;J28,$AL8&gt;2,$AL7&gt;3,ISNUMBER(H28),ISNUMBER(J28)),1,0)</f>
        <v>0</v>
      </c>
      <c r="I34" s="164"/>
      <c r="J34" s="165">
        <f>IF(AND(J28&gt;H28,$AL8&gt;2,$AL7&gt;3,ISNUMBER(H28),ISNUMBER(J28)),1,0)</f>
        <v>0</v>
      </c>
      <c r="K34" s="168"/>
      <c r="L34" s="164">
        <f>IF(AND(L28&gt;N28,$AL8&gt;3,$AL7&gt;3,ISNUMBER(L28),ISNUMBER(N28)),1,0)</f>
        <v>0</v>
      </c>
      <c r="M34" s="164"/>
      <c r="N34" s="165">
        <f>IF(AND(N28&gt;L28,$AL8&gt;3,$AL7&gt;3,ISNUMBER(L28),ISNUMBER(N28)),1,0)</f>
        <v>0</v>
      </c>
      <c r="O34" s="164">
        <f>IF(AND(O28&gt;Q28,$AL8&gt;4,$AL7&gt;3,ISNUMBER(O28),ISNUMBER(Q28)),1,0)</f>
        <v>0</v>
      </c>
      <c r="P34" s="164"/>
      <c r="Q34" s="165">
        <f>IF(AND(Q28&gt;O28,$AL8&gt;4,$AL7&gt;3,ISNUMBER(O28),ISNUMBER(Q28)),1,0)</f>
        <v>0</v>
      </c>
      <c r="R34" s="164">
        <f>IF(AND(R28&gt;T28,$AL8&gt;5,$AL7&gt;3,ISNUMBER(R28),ISNUMBER(T28)),1,0)</f>
        <v>0</v>
      </c>
      <c r="S34" s="164"/>
      <c r="T34" s="165">
        <f>IF(AND(T28&gt;R28,$AL8&gt;5,$AL7&gt;3,ISNUMBER(R28),ISNUMBER(T28)),1,0)</f>
        <v>0</v>
      </c>
      <c r="U34" s="164">
        <f>IF(AND(U28&gt;W28,$AL8&gt;6,$AL7&gt;3,ISNUMBER(U28),ISNUMBER(W28)),1,0)</f>
        <v>0</v>
      </c>
      <c r="V34" s="164"/>
      <c r="W34" s="165">
        <f>IF(AND(W28&gt;U28,$AL8&gt;6,$AL7&gt;3,ISNUMBER(U28),ISNUMBER(W28)),1,0)</f>
        <v>0</v>
      </c>
      <c r="X34" s="164">
        <f>IF(AND(X28&gt;Z28,$AL8&gt;7,$AL7&gt;3,ISNUMBER(X28),ISNUMBER(Z28)),1,0)</f>
        <v>0</v>
      </c>
      <c r="Y34" s="164"/>
      <c r="Z34" s="165">
        <f>IF(AND(Z28&gt;X28,$AL8&gt;7,$AL7&gt;3,ISNUMBER(X28),ISNUMBER(Z28)),1,0)</f>
        <v>0</v>
      </c>
      <c r="AA34" s="164">
        <f>IF(AND(AA28&gt;AC28,$AL8&gt;8,$AL7&gt;3,ISNUMBER(AA28),ISNUMBER(AC28)),1,0)</f>
        <v>0</v>
      </c>
      <c r="AB34" s="164"/>
      <c r="AC34" s="165">
        <f>IF(AND(AC28&gt;AA28,$AL8&gt;8,$AL7&gt;3,ISNUMBER(AA28),ISNUMBER(AC28)),1,0)</f>
        <v>0</v>
      </c>
      <c r="AD34" s="164">
        <f>IF(AND(AD28&gt;AF28,$AL8&gt;9,$AL7&gt;3,ISNUMBER(AD28),ISNUMBER(AF28)),1,0)</f>
        <v>0</v>
      </c>
      <c r="AE34" s="164"/>
      <c r="AF34" s="165">
        <f>IF(AND(AF28&gt;AD28,$AL8&gt;9,$AL7&gt;3,ISNUMBER(AD28),ISNUMBER(AF28)),1,0)</f>
        <v>0</v>
      </c>
      <c r="AW34" s="166"/>
    </row>
    <row r="35" spans="1:49" s="115" customFormat="1" ht="12.75" hidden="1" customHeight="1">
      <c r="A35" s="115" t="s">
        <v>205</v>
      </c>
      <c r="B35" s="164">
        <f>IF(AND(B29&gt;D29,$AL8&gt;0,$AL7&gt;4,ISNUMBER(B29),ISNUMBER(D29)),1,0)</f>
        <v>0</v>
      </c>
      <c r="C35" s="164"/>
      <c r="D35" s="165">
        <f>IF(AND(D29&gt;B29,$AL8&gt;0,$AL7&gt;4,ISNUMBER(B29),ISNUMBER(D29)),1,0)</f>
        <v>0</v>
      </c>
      <c r="E35" s="164">
        <f>IF(AND(E29&gt;G29,$AL8&gt;1,$AL7&gt;4,ISNUMBER(E29),ISNUMBER(G29)),1,0)</f>
        <v>0</v>
      </c>
      <c r="F35" s="164"/>
      <c r="G35" s="165">
        <f>IF(AND(G29&gt;E29,$AL8&gt;1,$AL7&gt;4,ISNUMBER(E29),ISNUMBER(G29)),1,0)</f>
        <v>0</v>
      </c>
      <c r="H35" s="164">
        <f>IF(AND(H29&gt;J29,$AL8&gt;2,$AL7&gt;4,ISNUMBER(H29),ISNUMBER(J29)),1,0)</f>
        <v>0</v>
      </c>
      <c r="I35" s="164"/>
      <c r="J35" s="165">
        <f>IF(AND(J29&gt;H29,$AL8&gt;2,$AL7&gt;4,ISNUMBER(H29),ISNUMBER(J29)),1,0)</f>
        <v>0</v>
      </c>
      <c r="K35" s="168"/>
      <c r="L35" s="164">
        <f>IF(AND(L29&gt;N29,$AL8&gt;3,$AL7&gt;4,ISNUMBER(L29),ISNUMBER(N29)),1,0)</f>
        <v>0</v>
      </c>
      <c r="M35" s="164"/>
      <c r="N35" s="165">
        <f>IF(AND(N29&gt;L29,$AL8&gt;3,$AL7&gt;4,ISNUMBER(L29),ISNUMBER(N29)),1,0)</f>
        <v>0</v>
      </c>
      <c r="O35" s="164">
        <f>IF(AND(O29&gt;Q29,$AL8&gt;4,$AL7&gt;4,ISNUMBER(O29),ISNUMBER(Q29)),1,0)</f>
        <v>0</v>
      </c>
      <c r="P35" s="164"/>
      <c r="Q35" s="165">
        <f>IF(AND(Q29&gt;O29,$AL8&gt;4,$AL7&gt;4,ISNUMBER(O29),ISNUMBER(Q29)),1,0)</f>
        <v>0</v>
      </c>
      <c r="R35" s="164">
        <f>IF(AND(R29&gt;T29,$AL8&gt;5,$AL7&gt;4,ISNUMBER(R29),ISNUMBER(T29)),1,0)</f>
        <v>0</v>
      </c>
      <c r="S35" s="164"/>
      <c r="T35" s="165">
        <f>IF(AND(T29&gt;R29,$AL8&gt;5,$AL7&gt;4,ISNUMBER(R29),ISNUMBER(T29)),1,0)</f>
        <v>0</v>
      </c>
      <c r="U35" s="164">
        <f>IF(AND(U29&gt;W29,$AL8&gt;6,$AL7&gt;4,ISNUMBER(U29),ISNUMBER(W29)),1,0)</f>
        <v>0</v>
      </c>
      <c r="V35" s="164"/>
      <c r="W35" s="165">
        <f>IF(AND(W29&gt;U29,$AL8&gt;6,$AL7&gt;4,ISNUMBER(U29),ISNUMBER(W29)),1,0)</f>
        <v>0</v>
      </c>
      <c r="X35" s="164">
        <f>IF(AND(X29&gt;Z29,$AL8&gt;7,$AL7&gt;4,ISNUMBER(X29),ISNUMBER(Z29)),1,0)</f>
        <v>0</v>
      </c>
      <c r="Y35" s="164"/>
      <c r="Z35" s="165">
        <f>IF(AND(Z29&gt;X29,$AL8&gt;7,$AL7&gt;4,ISNUMBER(X29),ISNUMBER(Z29)),1,0)</f>
        <v>0</v>
      </c>
      <c r="AA35" s="164">
        <f>IF(AND(AA29&gt;AC29,$AL8&gt;8,$AL7&gt;4,ISNUMBER(AA29),ISNUMBER(AC29)),1,0)</f>
        <v>0</v>
      </c>
      <c r="AB35" s="164"/>
      <c r="AC35" s="165">
        <f>IF(AND(AC29&gt;AA29,$AL8&gt;8,$AL7&gt;4,ISNUMBER(AA29),ISNUMBER(AC29)),1,0)</f>
        <v>0</v>
      </c>
      <c r="AD35" s="164">
        <f>IF(AND(AD29&gt;AF29,$AL8&gt;9,$AL7&gt;4,ISNUMBER(AD29),ISNUMBER(AF29)),1,0)</f>
        <v>0</v>
      </c>
      <c r="AE35" s="164"/>
      <c r="AF35" s="165">
        <f>IF(AND(AF29&gt;AD29,$AL8&gt;9,$AL7&gt;4,ISNUMBER(AD29),ISNUMBER(AF29)),1,0)</f>
        <v>0</v>
      </c>
      <c r="AW35" s="166"/>
    </row>
    <row r="36" spans="1:49" s="115" customFormat="1" ht="38.25" hidden="1" customHeight="1">
      <c r="A36" s="167" t="s">
        <v>206</v>
      </c>
      <c r="B36" s="115">
        <f>SUM(B31:B35)</f>
        <v>1</v>
      </c>
      <c r="D36" s="168">
        <f>SUM(D31:D35)</f>
        <v>1</v>
      </c>
      <c r="E36" s="115">
        <f>SUM(E31:E35)</f>
        <v>2</v>
      </c>
      <c r="G36" s="168">
        <f>SUM(G31:G35)</f>
        <v>0</v>
      </c>
      <c r="H36" s="115">
        <f>SUM(H31:H35)</f>
        <v>2</v>
      </c>
      <c r="J36" s="168">
        <f>SUM(J31:J35)</f>
        <v>0</v>
      </c>
      <c r="K36" s="168"/>
      <c r="L36" s="115">
        <f>SUM(L31:L35)</f>
        <v>2</v>
      </c>
      <c r="N36" s="168">
        <f>SUM(N31:N35)</f>
        <v>0</v>
      </c>
      <c r="O36" s="115">
        <f>SUM(O31:O35)</f>
        <v>2</v>
      </c>
      <c r="Q36" s="168">
        <f>SUM(Q31:Q35)</f>
        <v>0</v>
      </c>
      <c r="R36" s="115">
        <f>SUM(R31:R35)</f>
        <v>0</v>
      </c>
      <c r="T36" s="168">
        <f>SUM(T31:T35)</f>
        <v>2</v>
      </c>
      <c r="U36" s="115">
        <f>SUM(U31:U35)</f>
        <v>0</v>
      </c>
      <c r="W36" s="168">
        <f>SUM(W31:W35)</f>
        <v>0</v>
      </c>
      <c r="X36" s="115">
        <f>SUM(X31:X35)</f>
        <v>0</v>
      </c>
      <c r="Z36" s="168">
        <f>SUM(Z31:Z35)</f>
        <v>0</v>
      </c>
      <c r="AA36" s="115">
        <f>SUM(AA31:AA35)</f>
        <v>0</v>
      </c>
      <c r="AC36" s="168">
        <f>SUM(AC31:AC35)</f>
        <v>0</v>
      </c>
      <c r="AD36" s="115">
        <f>SUM(AD31:AD35)</f>
        <v>0</v>
      </c>
      <c r="AF36" s="168">
        <f>SUM(AF31:AF35)</f>
        <v>0</v>
      </c>
      <c r="AW36" s="166"/>
    </row>
    <row r="37" spans="1:49" s="115" customFormat="1" ht="25.5" hidden="1" customHeight="1">
      <c r="A37" s="167" t="s">
        <v>207</v>
      </c>
      <c r="B37" s="115">
        <f>IF(B36&gt;D36,IF(C71=AL7,1,IF(C71=AL7-1,1,0)),0)</f>
        <v>0</v>
      </c>
      <c r="C37" s="115">
        <f>B37+D37</f>
        <v>0</v>
      </c>
      <c r="D37" s="168">
        <f>IF(D36&gt;B36,IF(C71=AL7,1,IF(C71=AL7-1,1,0)),0)</f>
        <v>0</v>
      </c>
      <c r="E37" s="115">
        <f>IF(E36&gt;G36,IF(F71=AL7,1,IF(F71=AL7-1,1,0)),0)</f>
        <v>1</v>
      </c>
      <c r="F37" s="115">
        <f>E37+G37</f>
        <v>1</v>
      </c>
      <c r="G37" s="168">
        <f>IF(G36&gt;E36,IF(F71=AL7,1,IF(F71=AL7-1,1,0)),0)</f>
        <v>0</v>
      </c>
      <c r="H37" s="115">
        <f>IF(H36&gt;J36,IF(I71=AL7,1,IF(I71=AL7-1,1,0)),0)</f>
        <v>1</v>
      </c>
      <c r="I37" s="115">
        <f>H37+J37</f>
        <v>1</v>
      </c>
      <c r="J37" s="168">
        <f>IF(J36&gt;H36,IF(I71=AL7,1,IF(I71=AL7-1,1,0)),0)</f>
        <v>0</v>
      </c>
      <c r="K37" s="168"/>
      <c r="L37" s="115">
        <f>IF(L36&gt;N36,IF(M71=AL7,1,IF(M71=AL7-1,1,0)),0)</f>
        <v>1</v>
      </c>
      <c r="M37" s="115">
        <f>L37+N37</f>
        <v>1</v>
      </c>
      <c r="N37" s="168">
        <f>IF(N36&gt;L36,IF(M71=AL7,1,IF(M71=AL7-1,1,0)),0)</f>
        <v>0</v>
      </c>
      <c r="O37" s="115">
        <f>IF(O36&gt;Q36,IF(P71=AL7,1,IF(P71=AL7-1,1,0)),0)</f>
        <v>1</v>
      </c>
      <c r="P37" s="115">
        <f>O37+Q37</f>
        <v>1</v>
      </c>
      <c r="Q37" s="168">
        <f>IF(Q36&gt;O36,IF(P71=AL7,1,IF(P71=AL7-1,1,0)),0)</f>
        <v>0</v>
      </c>
      <c r="R37" s="115">
        <f>IF(R36&gt;T36,IF(S71=AL7,1,IF(S71=AL7-1,1,0)),0)</f>
        <v>0</v>
      </c>
      <c r="S37" s="115">
        <f>R37+T37</f>
        <v>1</v>
      </c>
      <c r="T37" s="168">
        <f>IF(T36&gt;R36,IF(S71=AL7,1,IF(S71=AL7-1,1,0)),0)</f>
        <v>1</v>
      </c>
      <c r="U37" s="115">
        <f>IF(U36&gt;W36,IF(V71=AL7,1,IF(V71=AL7-1,1,0)),0)</f>
        <v>0</v>
      </c>
      <c r="V37" s="115">
        <f>U37+W37</f>
        <v>0</v>
      </c>
      <c r="W37" s="168">
        <f>IF(W36&gt;U36,IF(V71=AL7,1,IF(V71=AL7-1,1,0)),0)</f>
        <v>0</v>
      </c>
      <c r="X37" s="115">
        <f>IF(X36&gt;Z36,IF(Y71=AL7,1,IF(Y71=AL7-1,1,0)),0)</f>
        <v>0</v>
      </c>
      <c r="Y37" s="115">
        <f>X37+Z37</f>
        <v>0</v>
      </c>
      <c r="Z37" s="168">
        <f>IF(Z36&gt;X36,IF(Y71=AL7,1,IF(Y71=AL7-1,1,0)),0)</f>
        <v>0</v>
      </c>
      <c r="AA37" s="115">
        <f>IF(AA36&gt;AC36,IF(AB71=AL7,1,IF(AB71=AL7-1,1,0)),0)</f>
        <v>0</v>
      </c>
      <c r="AB37" s="115">
        <f>AA37+AC37</f>
        <v>0</v>
      </c>
      <c r="AC37" s="168">
        <f>IF(AC36&gt;AA36,IF(AB71=AL7,1,IF(AB71=AL7-1,1,0)),0)</f>
        <v>0</v>
      </c>
      <c r="AD37" s="115">
        <f>IF(AD36&gt;AF36,IF(AE71=AL7,1,IF(AE71=AL7-1,1,0)),0)</f>
        <v>0</v>
      </c>
      <c r="AE37" s="115">
        <f>AD37+AF37</f>
        <v>0</v>
      </c>
      <c r="AF37" s="168">
        <f>IF(AF36&gt;AD36,IF(AE71=AL7,1,IF(AE71=AL7-1,1,0)),0)</f>
        <v>0</v>
      </c>
      <c r="AW37" s="166"/>
    </row>
    <row r="38" spans="1:49" s="115" customFormat="1" ht="25.5" hidden="1" customHeight="1">
      <c r="A38" s="167"/>
      <c r="D38" s="168"/>
      <c r="G38" s="168"/>
      <c r="J38" s="168"/>
      <c r="K38" s="168"/>
      <c r="N38" s="168"/>
      <c r="Q38" s="168"/>
      <c r="T38" s="168"/>
      <c r="W38" s="168"/>
      <c r="Z38" s="168"/>
      <c r="AC38" s="168"/>
      <c r="AF38" s="168"/>
      <c r="AW38" s="166"/>
    </row>
    <row r="39" spans="1:49" s="115" customFormat="1" ht="12.75" hidden="1" customHeight="1">
      <c r="A39" s="115" t="s">
        <v>208</v>
      </c>
      <c r="B39" s="115">
        <f>IF(B31=1,B25,0)</f>
        <v>0</v>
      </c>
      <c r="D39" s="168">
        <f t="shared" ref="D39:E43" si="2">IF(D31=1,D25,0)</f>
        <v>18</v>
      </c>
      <c r="E39" s="115">
        <f t="shared" si="2"/>
        <v>23</v>
      </c>
      <c r="G39" s="168">
        <f t="shared" ref="G39:H43" si="3">IF(G31=1,G25,0)</f>
        <v>0</v>
      </c>
      <c r="H39" s="115">
        <f t="shared" si="3"/>
        <v>21</v>
      </c>
      <c r="J39" s="168">
        <f>IF(J31=1,J25,0)</f>
        <v>0</v>
      </c>
      <c r="K39" s="168"/>
      <c r="L39" s="115">
        <f>IF(L31=1,L25,0)</f>
        <v>23</v>
      </c>
      <c r="N39" s="168">
        <f t="shared" ref="N39:O43" si="4">IF(N31=1,N25,0)</f>
        <v>0</v>
      </c>
      <c r="O39" s="115">
        <f t="shared" si="4"/>
        <v>25</v>
      </c>
      <c r="Q39" s="168">
        <f t="shared" ref="Q39:R43" si="5">IF(Q31=1,Q25,0)</f>
        <v>0</v>
      </c>
      <c r="R39" s="115">
        <f t="shared" si="5"/>
        <v>0</v>
      </c>
      <c r="T39" s="168">
        <f t="shared" ref="T39:U43" si="6">IF(T31=1,T25,0)</f>
        <v>18</v>
      </c>
      <c r="U39" s="115">
        <f t="shared" si="6"/>
        <v>0</v>
      </c>
      <c r="W39" s="168">
        <f t="shared" ref="W39:X43" si="7">IF(W31=1,W25,0)</f>
        <v>0</v>
      </c>
      <c r="X39" s="115">
        <f t="shared" si="7"/>
        <v>0</v>
      </c>
      <c r="Z39" s="168">
        <f t="shared" ref="Z39:AA43" si="8">IF(Z31=1,Z25,0)</f>
        <v>0</v>
      </c>
      <c r="AA39" s="115">
        <f t="shared" si="8"/>
        <v>0</v>
      </c>
      <c r="AC39" s="168">
        <f t="shared" ref="AC39:AD43" si="9">IF(AC31=1,AC25,0)</f>
        <v>0</v>
      </c>
      <c r="AD39" s="115">
        <f t="shared" si="9"/>
        <v>0</v>
      </c>
      <c r="AF39" s="168">
        <f>IF(AF31=1,AF25,0)</f>
        <v>0</v>
      </c>
      <c r="AW39" s="166"/>
    </row>
    <row r="40" spans="1:49" s="115" customFormat="1" ht="12.75" hidden="1" customHeight="1">
      <c r="A40" s="115" t="s">
        <v>209</v>
      </c>
      <c r="B40" s="115">
        <f>IF(B32=1,B26,0)</f>
        <v>20</v>
      </c>
      <c r="D40" s="168">
        <f t="shared" si="2"/>
        <v>0</v>
      </c>
      <c r="E40" s="115">
        <f t="shared" si="2"/>
        <v>26</v>
      </c>
      <c r="G40" s="168">
        <f t="shared" si="3"/>
        <v>0</v>
      </c>
      <c r="H40" s="115">
        <f t="shared" si="3"/>
        <v>20</v>
      </c>
      <c r="J40" s="168">
        <f>IF(J32=1,J26,0)</f>
        <v>0</v>
      </c>
      <c r="K40" s="168"/>
      <c r="L40" s="115">
        <f>IF(L32=1,L26,0)</f>
        <v>19</v>
      </c>
      <c r="N40" s="168">
        <f t="shared" si="4"/>
        <v>0</v>
      </c>
      <c r="O40" s="115">
        <f t="shared" si="4"/>
        <v>24</v>
      </c>
      <c r="Q40" s="168">
        <f t="shared" si="5"/>
        <v>0</v>
      </c>
      <c r="R40" s="115">
        <f t="shared" si="5"/>
        <v>0</v>
      </c>
      <c r="T40" s="168">
        <f t="shared" si="6"/>
        <v>21</v>
      </c>
      <c r="U40" s="115">
        <f t="shared" si="6"/>
        <v>0</v>
      </c>
      <c r="W40" s="168">
        <f t="shared" si="7"/>
        <v>0</v>
      </c>
      <c r="X40" s="115">
        <f t="shared" si="7"/>
        <v>0</v>
      </c>
      <c r="Z40" s="168">
        <f t="shared" si="8"/>
        <v>0</v>
      </c>
      <c r="AA40" s="115">
        <f t="shared" si="8"/>
        <v>0</v>
      </c>
      <c r="AC40" s="168">
        <f t="shared" si="9"/>
        <v>0</v>
      </c>
      <c r="AD40" s="115">
        <f t="shared" si="9"/>
        <v>0</v>
      </c>
      <c r="AF40" s="168">
        <f>IF(AF32=1,AF26,0)</f>
        <v>0</v>
      </c>
      <c r="AW40" s="166"/>
    </row>
    <row r="41" spans="1:49" s="115" customFormat="1" ht="12.75" hidden="1" customHeight="1">
      <c r="A41" s="115" t="s">
        <v>210</v>
      </c>
      <c r="B41" s="115">
        <f>IF(B33=1,B27,0)</f>
        <v>0</v>
      </c>
      <c r="D41" s="168">
        <f t="shared" si="2"/>
        <v>0</v>
      </c>
      <c r="E41" s="115">
        <f t="shared" si="2"/>
        <v>0</v>
      </c>
      <c r="G41" s="168">
        <f t="shared" si="3"/>
        <v>0</v>
      </c>
      <c r="H41" s="115">
        <f t="shared" si="3"/>
        <v>0</v>
      </c>
      <c r="J41" s="168">
        <f>IF(J33=1,J27,0)</f>
        <v>0</v>
      </c>
      <c r="K41" s="168"/>
      <c r="L41" s="115">
        <f>IF(L33=1,L27,0)</f>
        <v>0</v>
      </c>
      <c r="N41" s="168">
        <f t="shared" si="4"/>
        <v>0</v>
      </c>
      <c r="O41" s="115">
        <f t="shared" si="4"/>
        <v>0</v>
      </c>
      <c r="Q41" s="168">
        <f t="shared" si="5"/>
        <v>0</v>
      </c>
      <c r="R41" s="115">
        <f t="shared" si="5"/>
        <v>0</v>
      </c>
      <c r="T41" s="168">
        <f t="shared" si="6"/>
        <v>0</v>
      </c>
      <c r="U41" s="115">
        <f t="shared" si="6"/>
        <v>0</v>
      </c>
      <c r="W41" s="168">
        <f t="shared" si="7"/>
        <v>0</v>
      </c>
      <c r="X41" s="115">
        <f t="shared" si="7"/>
        <v>0</v>
      </c>
      <c r="Z41" s="168">
        <f t="shared" si="8"/>
        <v>0</v>
      </c>
      <c r="AA41" s="115">
        <f t="shared" si="8"/>
        <v>0</v>
      </c>
      <c r="AC41" s="168">
        <f t="shared" si="9"/>
        <v>0</v>
      </c>
      <c r="AD41" s="115">
        <f t="shared" si="9"/>
        <v>0</v>
      </c>
      <c r="AF41" s="168">
        <f>IF(AF33=1,AF27,0)</f>
        <v>0</v>
      </c>
      <c r="AW41" s="166"/>
    </row>
    <row r="42" spans="1:49" s="115" customFormat="1" ht="12.75" hidden="1" customHeight="1">
      <c r="A42" s="115" t="s">
        <v>211</v>
      </c>
      <c r="B42" s="115">
        <f>IF(B34=1,B28,0)</f>
        <v>0</v>
      </c>
      <c r="D42" s="168">
        <f t="shared" si="2"/>
        <v>0</v>
      </c>
      <c r="E42" s="115">
        <f t="shared" si="2"/>
        <v>0</v>
      </c>
      <c r="G42" s="168">
        <f t="shared" si="3"/>
        <v>0</v>
      </c>
      <c r="H42" s="115">
        <f t="shared" si="3"/>
        <v>0</v>
      </c>
      <c r="J42" s="168">
        <f>IF(J34=1,J28,0)</f>
        <v>0</v>
      </c>
      <c r="K42" s="168"/>
      <c r="L42" s="115">
        <f>IF(L34=1,L28,0)</f>
        <v>0</v>
      </c>
      <c r="N42" s="168">
        <f t="shared" si="4"/>
        <v>0</v>
      </c>
      <c r="O42" s="115">
        <f t="shared" si="4"/>
        <v>0</v>
      </c>
      <c r="Q42" s="168">
        <f t="shared" si="5"/>
        <v>0</v>
      </c>
      <c r="R42" s="115">
        <f t="shared" si="5"/>
        <v>0</v>
      </c>
      <c r="T42" s="168">
        <f t="shared" si="6"/>
        <v>0</v>
      </c>
      <c r="U42" s="115">
        <f t="shared" si="6"/>
        <v>0</v>
      </c>
      <c r="W42" s="168">
        <f t="shared" si="7"/>
        <v>0</v>
      </c>
      <c r="X42" s="115">
        <f t="shared" si="7"/>
        <v>0</v>
      </c>
      <c r="Z42" s="168">
        <f t="shared" si="8"/>
        <v>0</v>
      </c>
      <c r="AA42" s="115">
        <f t="shared" si="8"/>
        <v>0</v>
      </c>
      <c r="AC42" s="168">
        <f t="shared" si="9"/>
        <v>0</v>
      </c>
      <c r="AD42" s="115">
        <f t="shared" si="9"/>
        <v>0</v>
      </c>
      <c r="AF42" s="168">
        <f>IF(AF34=1,AF28,0)</f>
        <v>0</v>
      </c>
      <c r="AW42" s="166"/>
    </row>
    <row r="43" spans="1:49" s="115" customFormat="1" ht="12.75" hidden="1" customHeight="1">
      <c r="A43" s="115" t="s">
        <v>212</v>
      </c>
      <c r="B43" s="115">
        <f>IF(B35=1,B29,0)</f>
        <v>0</v>
      </c>
      <c r="D43" s="168">
        <f t="shared" si="2"/>
        <v>0</v>
      </c>
      <c r="E43" s="115">
        <f t="shared" si="2"/>
        <v>0</v>
      </c>
      <c r="G43" s="168">
        <f t="shared" si="3"/>
        <v>0</v>
      </c>
      <c r="H43" s="115">
        <f t="shared" si="3"/>
        <v>0</v>
      </c>
      <c r="J43" s="168">
        <f>IF(J35=1,J29,0)</f>
        <v>0</v>
      </c>
      <c r="K43" s="168"/>
      <c r="L43" s="115">
        <f>IF(L35=1,L29,0)</f>
        <v>0</v>
      </c>
      <c r="N43" s="168">
        <f t="shared" si="4"/>
        <v>0</v>
      </c>
      <c r="O43" s="115">
        <f t="shared" si="4"/>
        <v>0</v>
      </c>
      <c r="Q43" s="168">
        <f t="shared" si="5"/>
        <v>0</v>
      </c>
      <c r="R43" s="115">
        <f t="shared" si="5"/>
        <v>0</v>
      </c>
      <c r="T43" s="168">
        <f t="shared" si="6"/>
        <v>0</v>
      </c>
      <c r="U43" s="115">
        <f t="shared" si="6"/>
        <v>0</v>
      </c>
      <c r="W43" s="168">
        <f t="shared" si="7"/>
        <v>0</v>
      </c>
      <c r="X43" s="115">
        <f t="shared" si="7"/>
        <v>0</v>
      </c>
      <c r="Z43" s="168">
        <f t="shared" si="8"/>
        <v>0</v>
      </c>
      <c r="AA43" s="115">
        <f t="shared" si="8"/>
        <v>0</v>
      </c>
      <c r="AC43" s="168">
        <f t="shared" si="9"/>
        <v>0</v>
      </c>
      <c r="AD43" s="115">
        <f t="shared" si="9"/>
        <v>0</v>
      </c>
      <c r="AF43" s="168">
        <f>IF(AF35=1,AF29,0)</f>
        <v>0</v>
      </c>
      <c r="AW43" s="166"/>
    </row>
    <row r="44" spans="1:49" s="115" customFormat="1" ht="38.25" hidden="1" customHeight="1">
      <c r="A44" s="167" t="s">
        <v>213</v>
      </c>
      <c r="B44" s="115">
        <f>SUM(B39:D43)</f>
        <v>38</v>
      </c>
      <c r="D44" s="168"/>
      <c r="E44" s="115">
        <f>SUM(E39:G43)</f>
        <v>49</v>
      </c>
      <c r="G44" s="168"/>
      <c r="H44" s="115">
        <f>SUM(H39:J43)</f>
        <v>41</v>
      </c>
      <c r="J44" s="168"/>
      <c r="K44" s="168"/>
      <c r="L44" s="115">
        <f>SUM(L39:N43)</f>
        <v>42</v>
      </c>
      <c r="N44" s="168"/>
      <c r="O44" s="115">
        <f>SUM(O39:Q43)</f>
        <v>49</v>
      </c>
      <c r="Q44" s="168"/>
      <c r="R44" s="115">
        <f>SUM(R39:T43)</f>
        <v>39</v>
      </c>
      <c r="T44" s="168"/>
      <c r="U44" s="115">
        <f>SUM(U39:W43)</f>
        <v>0</v>
      </c>
      <c r="W44" s="168"/>
      <c r="X44" s="115">
        <f>SUM(X39:Z43)</f>
        <v>0</v>
      </c>
      <c r="Z44" s="168"/>
      <c r="AA44" s="115">
        <f>SUM(AA39:AC43)</f>
        <v>0</v>
      </c>
      <c r="AC44" s="168"/>
      <c r="AD44" s="115">
        <f>SUM(AD39:AF43)</f>
        <v>0</v>
      </c>
      <c r="AF44" s="168"/>
      <c r="AW44" s="166"/>
    </row>
    <row r="45" spans="1:49" s="115" customFormat="1" ht="38.25" hidden="1" customHeight="1">
      <c r="A45" s="115" t="s">
        <v>214</v>
      </c>
      <c r="D45" s="168"/>
      <c r="G45" s="168"/>
      <c r="J45" s="168"/>
      <c r="K45" s="168"/>
      <c r="N45" s="168"/>
      <c r="Q45" s="168"/>
      <c r="T45" s="168"/>
      <c r="W45" s="168"/>
      <c r="Z45" s="168"/>
      <c r="AC45" s="168"/>
      <c r="AF45" s="168"/>
      <c r="AG45" s="167" t="s">
        <v>215</v>
      </c>
      <c r="AH45" s="115" t="s">
        <v>216</v>
      </c>
      <c r="AW45" s="166"/>
    </row>
    <row r="46" spans="1:49" s="115" customFormat="1" ht="12.75" hidden="1" customHeight="1">
      <c r="A46" s="115" t="s">
        <v>38</v>
      </c>
      <c r="B46" s="115">
        <f>IF(B24=1,IF(B37=1,1,0),0)</f>
        <v>0</v>
      </c>
      <c r="D46" s="168">
        <f>IF(D24=1,IF(D37=1,1,0),0)</f>
        <v>0</v>
      </c>
      <c r="E46" s="115">
        <f>IF(E24=1,IF(E37=1,1,0),0)</f>
        <v>1</v>
      </c>
      <c r="G46" s="168">
        <f>IF(G24=1,IF(G37=1,1,0),0)</f>
        <v>0</v>
      </c>
      <c r="H46" s="115">
        <f>IF(H24=1,IF(H37=1,1,0),0)</f>
        <v>0</v>
      </c>
      <c r="J46" s="168">
        <f>IF(J24=1,IF(J37=1,1,0),0)</f>
        <v>0</v>
      </c>
      <c r="K46" s="168"/>
      <c r="L46" s="115">
        <f>IF(L24=1,IF(L37=1,1,0),0)</f>
        <v>1</v>
      </c>
      <c r="N46" s="168">
        <f>IF(N24=1,IF(N37=1,1,0),0)</f>
        <v>0</v>
      </c>
      <c r="O46" s="115">
        <f>IF(O24=1,IF(O37=1,1,0),0)</f>
        <v>0</v>
      </c>
      <c r="Q46" s="168">
        <f>IF(Q24=1,IF(Q37=1,1,0),0)</f>
        <v>0</v>
      </c>
      <c r="R46" s="115">
        <f>IF(R24=1,IF(R37=1,1,0),0)</f>
        <v>0</v>
      </c>
      <c r="T46" s="168">
        <f>IF(T24=1,IF(T37=1,1,0),0)</f>
        <v>0</v>
      </c>
      <c r="U46" s="115">
        <f>IF(U24=1,IF(U37=1,1,0),0)</f>
        <v>0</v>
      </c>
      <c r="W46" s="168">
        <f>IF(W24=1,IF(W37=1,1,0),0)</f>
        <v>0</v>
      </c>
      <c r="X46" s="115">
        <f>IF(X24=1,IF(X37=1,1,0),0)</f>
        <v>0</v>
      </c>
      <c r="Z46" s="168">
        <f>IF(Z24=1,IF(Z37=1,1,0),0)</f>
        <v>0</v>
      </c>
      <c r="AA46" s="115">
        <f>IF(AA24=1,IF(AA37=1,1,0),0)</f>
        <v>0</v>
      </c>
      <c r="AC46" s="168">
        <f>IF(AC24=1,IF(AC37=1,1,0),0)</f>
        <v>0</v>
      </c>
      <c r="AD46" s="115">
        <f>IF(AD24=1,IF(AD37=1,1,0),0)</f>
        <v>0</v>
      </c>
      <c r="AF46" s="168">
        <f>IF(AF24=1,IF(AF37=1,1,0),0)</f>
        <v>0</v>
      </c>
      <c r="AG46" s="115">
        <f>SUM(B46:AF46)</f>
        <v>2</v>
      </c>
      <c r="AH46" s="115">
        <f>AG52-AG46</f>
        <v>1</v>
      </c>
      <c r="AW46" s="166"/>
    </row>
    <row r="47" spans="1:49" s="115" customFormat="1" ht="12.75" hidden="1" customHeight="1">
      <c r="A47" s="115" t="s">
        <v>39</v>
      </c>
      <c r="B47" s="115">
        <f>IF(B24=2,IF(B37=1,1,0),0)</f>
        <v>0</v>
      </c>
      <c r="D47" s="168">
        <f>IF(D24=2,IF(D37=1,1,0),0)</f>
        <v>0</v>
      </c>
      <c r="E47" s="115">
        <f>IF(E24=2,IF(E37=1,1,0),0)</f>
        <v>0</v>
      </c>
      <c r="G47" s="168">
        <f>IF(G24=2,IF(G37=1,1,0),0)</f>
        <v>0</v>
      </c>
      <c r="H47" s="115">
        <f>IF(H24=2,IF(H37=1,1,0),0)</f>
        <v>1</v>
      </c>
      <c r="J47" s="168">
        <f>IF(J24=2,IF(J37=1,1,0),0)</f>
        <v>0</v>
      </c>
      <c r="K47" s="168"/>
      <c r="L47" s="115">
        <f>IF(L24=2,IF(L37=1,1,0),0)</f>
        <v>0</v>
      </c>
      <c r="N47" s="168">
        <f>IF(N24=2,IF(N37=1,1,0),0)</f>
        <v>0</v>
      </c>
      <c r="O47" s="115">
        <f>IF(O24=2,IF(O37=1,1,0),0)</f>
        <v>0</v>
      </c>
      <c r="Q47" s="168">
        <f>IF(Q24=2,IF(Q37=1,1,0),0)</f>
        <v>0</v>
      </c>
      <c r="R47" s="115">
        <f>IF(R24=2,IF(R37=1,1,0),0)</f>
        <v>0</v>
      </c>
      <c r="T47" s="168">
        <f>IF(T24=2,IF(T37=1,1,0),0)</f>
        <v>1</v>
      </c>
      <c r="U47" s="115">
        <f>IF(U24=2,IF(U37=1,1,0),0)</f>
        <v>0</v>
      </c>
      <c r="W47" s="168">
        <f>IF(W24=2,IF(W37=1,1,0),0)</f>
        <v>0</v>
      </c>
      <c r="X47" s="115">
        <f>IF(X24=2,IF(X37=1,1,0),0)</f>
        <v>0</v>
      </c>
      <c r="Z47" s="168">
        <f>IF(Z24=2,IF(Z37=1,1,0),0)</f>
        <v>0</v>
      </c>
      <c r="AA47" s="115">
        <f>IF(AA24=2,IF(AA37=1,1,0),0)</f>
        <v>0</v>
      </c>
      <c r="AC47" s="168">
        <f>IF(AC24=2,IF(AC37=1,1,0),0)</f>
        <v>0</v>
      </c>
      <c r="AD47" s="115">
        <f>IF(AD24=2,IF(AD37=1,1,0),0)</f>
        <v>0</v>
      </c>
      <c r="AF47" s="168">
        <f>IF(AF24=2,IF(AF37=1,1,0),0)</f>
        <v>0</v>
      </c>
      <c r="AG47" s="115">
        <f>SUM(B47:AF47)</f>
        <v>2</v>
      </c>
      <c r="AH47" s="115">
        <f>AG53-AG47</f>
        <v>0</v>
      </c>
      <c r="AW47" s="166"/>
    </row>
    <row r="48" spans="1:49" s="115" customFormat="1" ht="12.75" hidden="1" customHeight="1">
      <c r="A48" s="115" t="s">
        <v>40</v>
      </c>
      <c r="B48" s="115">
        <f>IF(B24=3,IF(B37=1,1,0),0)</f>
        <v>0</v>
      </c>
      <c r="D48" s="168">
        <f>IF(D24=3,IF(D37=1,1,0),0)</f>
        <v>0</v>
      </c>
      <c r="E48" s="115">
        <f>IF(E24=3,IF(E37=1,1,0),0)</f>
        <v>0</v>
      </c>
      <c r="G48" s="168">
        <f>IF(G24=3,IF(G37=1,1,0),0)</f>
        <v>0</v>
      </c>
      <c r="H48" s="115">
        <f>IF(H24=3,IF(H37=1,1,0),0)</f>
        <v>0</v>
      </c>
      <c r="J48" s="168">
        <f>IF(J24=3,IF(J37=1,1,0),0)</f>
        <v>0</v>
      </c>
      <c r="K48" s="168"/>
      <c r="L48" s="115">
        <f>IF(L24=3,IF(L37=1,1,0),0)</f>
        <v>0</v>
      </c>
      <c r="N48" s="168">
        <f>IF(N24=3,IF(N37=1,1,0),0)</f>
        <v>0</v>
      </c>
      <c r="O48" s="115">
        <f>IF(O24=3,IF(O37=1,1,0),0)</f>
        <v>1</v>
      </c>
      <c r="Q48" s="168">
        <f>IF(Q24=3,IF(Q37=1,1,0),0)</f>
        <v>0</v>
      </c>
      <c r="R48" s="115">
        <f>IF(R24=3,IF(R37=1,1,0),0)</f>
        <v>0</v>
      </c>
      <c r="T48" s="168">
        <f>IF(T24=3,IF(T37=1,1,0),0)</f>
        <v>0</v>
      </c>
      <c r="U48" s="115">
        <f>IF(U24=3,IF(U37=1,1,0),0)</f>
        <v>0</v>
      </c>
      <c r="W48" s="168">
        <f>IF(W24=3,IF(W37=1,1,0),0)</f>
        <v>0</v>
      </c>
      <c r="X48" s="115">
        <f>IF(X24=3,IF(X37=1,1,0),0)</f>
        <v>0</v>
      </c>
      <c r="Z48" s="168">
        <f>IF(Z24=3,IF(Z37=1,1,0),0)</f>
        <v>0</v>
      </c>
      <c r="AA48" s="115">
        <f>IF(AA24=3,IF(AA37=1,1,0),0)</f>
        <v>0</v>
      </c>
      <c r="AC48" s="168">
        <f>IF(AC24=3,IF(AC37=1,1,0),0)</f>
        <v>0</v>
      </c>
      <c r="AD48" s="115">
        <f>IF(AD24=3,IF(AD37=1,1,0),0)</f>
        <v>0</v>
      </c>
      <c r="AF48" s="168">
        <f>IF(AF24=3,IF(AF37=1,1,0),0)</f>
        <v>0</v>
      </c>
      <c r="AG48" s="115">
        <f>SUM(B48:AF48)</f>
        <v>1</v>
      </c>
      <c r="AH48" s="115">
        <f>AG54-AG48</f>
        <v>1</v>
      </c>
      <c r="AW48" s="166"/>
    </row>
    <row r="49" spans="1:49" s="115" customFormat="1" ht="12.75" hidden="1" customHeight="1">
      <c r="A49" s="115" t="s">
        <v>41</v>
      </c>
      <c r="B49" s="115">
        <f>IF(B24=4,IF(B37=1,1,0),0)</f>
        <v>0</v>
      </c>
      <c r="D49" s="168">
        <f>IF(D24=4,IF(D37=1,1,0),0)</f>
        <v>0</v>
      </c>
      <c r="E49" s="115">
        <f>IF(E24=4,IF(E37=1,1,0),0)</f>
        <v>0</v>
      </c>
      <c r="G49" s="168">
        <f>IF(G24=4,IF(G37=1,1,0),0)</f>
        <v>0</v>
      </c>
      <c r="H49" s="115">
        <f>IF(H24=4,IF(H37=1,1,0),0)</f>
        <v>0</v>
      </c>
      <c r="J49" s="168">
        <f>IF(J24=4,IF(J37=1,1,0),0)</f>
        <v>0</v>
      </c>
      <c r="K49" s="168"/>
      <c r="L49" s="115">
        <f>IF(L24=4,IF(L37=1,1,0),0)</f>
        <v>0</v>
      </c>
      <c r="N49" s="168">
        <f>IF(N24=4,IF(N37=1,1,0),0)</f>
        <v>0</v>
      </c>
      <c r="O49" s="115">
        <f>IF(O24=4,IF(O37=1,1,0),0)</f>
        <v>0</v>
      </c>
      <c r="Q49" s="168">
        <f>IF(Q24=4,IF(Q37=1,1,0),0)</f>
        <v>0</v>
      </c>
      <c r="R49" s="115">
        <f>IF(R24=4,IF(R37=1,1,0),0)</f>
        <v>0</v>
      </c>
      <c r="T49" s="168">
        <f>IF(T24=4,IF(T37=1,1,0),0)</f>
        <v>0</v>
      </c>
      <c r="U49" s="115">
        <f>IF(U24=4,IF(U37=1,1,0),0)</f>
        <v>0</v>
      </c>
      <c r="W49" s="168">
        <f>IF(W24=4,IF(W37=1,1,0),0)</f>
        <v>0</v>
      </c>
      <c r="X49" s="115">
        <f>IF(X24=4,IF(X37=1,1,0),0)</f>
        <v>0</v>
      </c>
      <c r="Z49" s="168">
        <f>IF(Z24=4,IF(Z37=1,1,0),0)</f>
        <v>0</v>
      </c>
      <c r="AA49" s="115">
        <f>IF(AA24=4,IF(AA37=1,1,0),0)</f>
        <v>0</v>
      </c>
      <c r="AC49" s="168">
        <f>IF(AC24=4,IF(AC37=1,1,0),0)</f>
        <v>0</v>
      </c>
      <c r="AD49" s="115">
        <f>IF(AD24=4,IF(AD37=1,1,0),0)</f>
        <v>0</v>
      </c>
      <c r="AF49" s="168">
        <f>IF(AF24=4,IF(AF37=1,1,0),0)</f>
        <v>0</v>
      </c>
      <c r="AG49" s="115">
        <f>SUM(B49:AF49)</f>
        <v>0</v>
      </c>
      <c r="AH49" s="115">
        <f>AG55-AG49</f>
        <v>3</v>
      </c>
      <c r="AW49" s="166"/>
    </row>
    <row r="50" spans="1:49" s="115" customFormat="1" ht="12.75" hidden="1" customHeight="1">
      <c r="A50" s="115" t="s">
        <v>42</v>
      </c>
      <c r="B50" s="115">
        <f>IF(B24=5,IF(B37=1,1,0),0)</f>
        <v>0</v>
      </c>
      <c r="D50" s="168">
        <f>IF(D24=5,IF(D37=1,1,0),0)</f>
        <v>0</v>
      </c>
      <c r="E50" s="115">
        <f>IF(E24=5,IF(E37=1,1,0),0)</f>
        <v>0</v>
      </c>
      <c r="G50" s="168">
        <f>IF(G24=5,IF(G37=1,1,0),0)</f>
        <v>0</v>
      </c>
      <c r="H50" s="115">
        <f>IF(H24=5,IF(H37=1,1,0),0)</f>
        <v>0</v>
      </c>
      <c r="J50" s="168">
        <f>IF(J24=5,IF(J37=1,1,0),0)</f>
        <v>0</v>
      </c>
      <c r="K50" s="168"/>
      <c r="L50" s="115">
        <f>IF(L24=5,IF(L37=1,1,0),0)</f>
        <v>0</v>
      </c>
      <c r="N50" s="168">
        <f>IF(N24=5,IF(N37=1,1,0),0)</f>
        <v>0</v>
      </c>
      <c r="O50" s="115">
        <f>IF(O24=5,IF(O37=1,1,0),0)</f>
        <v>0</v>
      </c>
      <c r="Q50" s="168">
        <f>IF(Q24=5,IF(Q37=1,1,0),0)</f>
        <v>0</v>
      </c>
      <c r="R50" s="115">
        <f>IF(R24=5,IF(R37=1,1,0),0)</f>
        <v>0</v>
      </c>
      <c r="T50" s="168">
        <f>IF(T24=5,IF(T37=1,1,0),0)</f>
        <v>0</v>
      </c>
      <c r="U50" s="115">
        <f>IF(U24=5,IF(U37=1,1,0),0)</f>
        <v>0</v>
      </c>
      <c r="W50" s="168">
        <f>IF(W24=5,IF(W37=1,1,0),0)</f>
        <v>0</v>
      </c>
      <c r="X50" s="115">
        <f>IF(X24=5,IF(X37=1,1,0),0)</f>
        <v>0</v>
      </c>
      <c r="Z50" s="168">
        <f>IF(Z24=5,IF(Z37=1,1,0),0)</f>
        <v>0</v>
      </c>
      <c r="AA50" s="115">
        <f>IF(AA24=5,IF(AA37=1,1,0),0)</f>
        <v>0</v>
      </c>
      <c r="AC50" s="168">
        <f>IF(AC24=5,IF(AC37=1,1,0),0)</f>
        <v>0</v>
      </c>
      <c r="AD50" s="115">
        <f>IF(AD24=5,IF(AD37=1,1,0),0)</f>
        <v>0</v>
      </c>
      <c r="AF50" s="168">
        <f>IF(AF24=5,IF(AF37=1,1,0),0)</f>
        <v>0</v>
      </c>
      <c r="AG50" s="115">
        <f>SUM(B50:AF50)</f>
        <v>0</v>
      </c>
      <c r="AH50" s="115">
        <f>AG56-AG50</f>
        <v>0</v>
      </c>
      <c r="AW50" s="166"/>
    </row>
    <row r="51" spans="1:49" s="115" customFormat="1" ht="38.25" hidden="1" customHeight="1">
      <c r="A51" s="167"/>
      <c r="D51" s="168"/>
      <c r="G51" s="168"/>
      <c r="J51" s="168"/>
      <c r="K51" s="168"/>
      <c r="N51" s="168"/>
      <c r="Q51" s="168"/>
      <c r="T51" s="168"/>
      <c r="W51" s="168"/>
      <c r="Z51" s="168"/>
      <c r="AC51" s="168"/>
      <c r="AF51" s="168"/>
      <c r="AG51" s="167" t="s">
        <v>217</v>
      </c>
      <c r="AW51" s="166"/>
    </row>
    <row r="52" spans="1:49" s="115" customFormat="1" ht="12.75" hidden="1" customHeight="1">
      <c r="A52" s="115" t="s">
        <v>43</v>
      </c>
      <c r="B52" s="115">
        <f>IF(B24=1,IF(C37=1,1,0),0)</f>
        <v>0</v>
      </c>
      <c r="D52" s="168">
        <f>IF(D24=1,IF(C37=1,1,0),0)</f>
        <v>0</v>
      </c>
      <c r="E52" s="115">
        <f>IF(E24=1,IF(F37=1,1,0),0)</f>
        <v>1</v>
      </c>
      <c r="G52" s="168">
        <f>IF(G24=1,IF(F37=1,1,0),0)</f>
        <v>0</v>
      </c>
      <c r="H52" s="115">
        <f>IF(H24=1,IF(I37=1,1,0),0)</f>
        <v>0</v>
      </c>
      <c r="J52" s="168">
        <f>IF(J24=1,IF(I37=1,1,0),0)</f>
        <v>0</v>
      </c>
      <c r="K52" s="168"/>
      <c r="L52" s="115">
        <f>IF(L24=1,IF(M37=1,1,0),0)</f>
        <v>1</v>
      </c>
      <c r="N52" s="168">
        <f>IF(N24=1,IF(M37=1,1,0),0)</f>
        <v>0</v>
      </c>
      <c r="O52" s="115">
        <f>IF(O24=1,IF(P37=1,1,0),0)</f>
        <v>0</v>
      </c>
      <c r="Q52" s="168">
        <f>IF(Q24=1,IF(P37=1,1,0),0)</f>
        <v>0</v>
      </c>
      <c r="R52" s="115">
        <f>IF(R24=1,IF(S37=1,1,0),0)</f>
        <v>1</v>
      </c>
      <c r="T52" s="168">
        <f>IF(T24=1,IF(S37=1,1,0),0)</f>
        <v>0</v>
      </c>
      <c r="U52" s="115">
        <f>IF(U24=1,IF(V37=1,1,0),0)</f>
        <v>0</v>
      </c>
      <c r="W52" s="168">
        <f>IF(W24=1,IF(V37=1,1,0),0)</f>
        <v>0</v>
      </c>
      <c r="X52" s="115">
        <f>IF(X24=1,IF(Y37=1,1,0),0)</f>
        <v>0</v>
      </c>
      <c r="Z52" s="168">
        <f>IF(Z24=1,IF(Y37=1,1,0),0)</f>
        <v>0</v>
      </c>
      <c r="AA52" s="115">
        <f>IF(AA24=1,IF(AB37=1,1,0),0)</f>
        <v>0</v>
      </c>
      <c r="AC52" s="168">
        <f>IF(AC24=1,IF(AB37=1,1,0),0)</f>
        <v>0</v>
      </c>
      <c r="AD52" s="115">
        <f>IF(AD24=1,IF(AE37=1,1,0),0)</f>
        <v>0</v>
      </c>
      <c r="AF52" s="168">
        <f>IF(AF24=1,IF(AE37=1,1,0),0)</f>
        <v>0</v>
      </c>
      <c r="AG52" s="115">
        <f>SUM(B52:AF52)</f>
        <v>3</v>
      </c>
      <c r="AW52" s="166"/>
    </row>
    <row r="53" spans="1:49" s="115" customFormat="1" ht="12.75" hidden="1" customHeight="1">
      <c r="A53" s="115" t="s">
        <v>44</v>
      </c>
      <c r="B53" s="115">
        <f>IF(B24=2,IF(C37=1,1,0),0)</f>
        <v>0</v>
      </c>
      <c r="D53" s="168">
        <f>IF(D24=2,IF(C37=1,1,0),0)</f>
        <v>0</v>
      </c>
      <c r="E53" s="115">
        <f>IF(E24=2,IF(F37=1,1,0),0)</f>
        <v>0</v>
      </c>
      <c r="G53" s="168">
        <f>IF(G24=2,IF(F37=1,1,0),0)</f>
        <v>0</v>
      </c>
      <c r="H53" s="115">
        <f>IF(H24=2,IF(I37=1,1,0),0)</f>
        <v>1</v>
      </c>
      <c r="J53" s="168">
        <f>IF(J24=2,IF(I37=1,1,0),0)</f>
        <v>0</v>
      </c>
      <c r="K53" s="168"/>
      <c r="L53" s="115">
        <f>IF(L24=2,IF(M37=1,1,0),0)</f>
        <v>0</v>
      </c>
      <c r="N53" s="168">
        <f>IF(N24=2,IF(M37=1,1,0),0)</f>
        <v>0</v>
      </c>
      <c r="O53" s="115">
        <f>IF(O24=2,IF(P37=1,1,0),0)</f>
        <v>0</v>
      </c>
      <c r="Q53" s="168">
        <f>IF(Q24=2,IF(P37=1,1,0),0)</f>
        <v>0</v>
      </c>
      <c r="R53" s="115">
        <f>IF(R24=2,IF(S37=1,1,0),0)</f>
        <v>0</v>
      </c>
      <c r="T53" s="168">
        <f>IF(T24=2,IF(S37=1,1,0),0)</f>
        <v>1</v>
      </c>
      <c r="U53" s="115">
        <f>IF(U24=2,IF(V37=1,1,0),0)</f>
        <v>0</v>
      </c>
      <c r="W53" s="168">
        <f>IF(W24=2,IF(V37=1,1,0),0)</f>
        <v>0</v>
      </c>
      <c r="X53" s="115">
        <f>IF(X24=2,IF(Y37=1,1,0),0)</f>
        <v>0</v>
      </c>
      <c r="Z53" s="168">
        <f>IF(Z24=2,IF(Y37=1,1,0),0)</f>
        <v>0</v>
      </c>
      <c r="AA53" s="115">
        <f>IF(AA24=2,IF(AB37=1,1,0),0)</f>
        <v>0</v>
      </c>
      <c r="AC53" s="168">
        <f>IF(AC24=2,IF(AB37=1,1,0),0)</f>
        <v>0</v>
      </c>
      <c r="AD53" s="115">
        <f>IF(AD24=2,IF(AE37=1,1,0),0)</f>
        <v>0</v>
      </c>
      <c r="AF53" s="168">
        <f>IF(AF24=2,IF(AE37=1,1,0),0)</f>
        <v>0</v>
      </c>
      <c r="AG53" s="115">
        <f>SUM(B53:AF53)</f>
        <v>2</v>
      </c>
      <c r="AW53" s="166"/>
    </row>
    <row r="54" spans="1:49" s="115" customFormat="1" ht="12.75" hidden="1" customHeight="1">
      <c r="A54" s="115" t="s">
        <v>45</v>
      </c>
      <c r="B54" s="115">
        <f>IF(B24=3,IF(C37=1,1,0),0)</f>
        <v>0</v>
      </c>
      <c r="D54" s="168">
        <f>IF(D24=3,IF(C37=1,1,0),0)</f>
        <v>0</v>
      </c>
      <c r="E54" s="115">
        <f>IF(E24=3,IF(F37=1,1,0),0)</f>
        <v>0</v>
      </c>
      <c r="G54" s="168">
        <f>IF(G24=3,IF(F37=1,1,0),0)</f>
        <v>0</v>
      </c>
      <c r="H54" s="115">
        <f>IF(H24=3,IF(I37=1,1,0),0)</f>
        <v>0</v>
      </c>
      <c r="J54" s="168">
        <f>IF(J24=3,IF(I37=1,1,0),0)</f>
        <v>0</v>
      </c>
      <c r="K54" s="168"/>
      <c r="L54" s="115">
        <f>IF(L24=3,IF(M37=1,1,0),0)</f>
        <v>0</v>
      </c>
      <c r="N54" s="168">
        <f>IF(N24=3,IF(M37=1,1,0),0)</f>
        <v>1</v>
      </c>
      <c r="O54" s="115">
        <f>IF(O24=3,IF(P37=1,1,0),0)</f>
        <v>1</v>
      </c>
      <c r="Q54" s="168">
        <f>IF(Q24=3,IF(P37=1,1,0),0)</f>
        <v>0</v>
      </c>
      <c r="R54" s="115">
        <f>IF(R24=3,IF(S37=1,1,0),0)</f>
        <v>0</v>
      </c>
      <c r="T54" s="168">
        <f>IF(T24=3,IF(S37=1,1,0),0)</f>
        <v>0</v>
      </c>
      <c r="U54" s="115">
        <f>IF(U24=3,IF(V37=1,1,0),0)</f>
        <v>0</v>
      </c>
      <c r="W54" s="168">
        <f>IF(W24=3,IF(V37=1,1,0),0)</f>
        <v>0</v>
      </c>
      <c r="X54" s="115">
        <f>IF(X24=3,IF(Y37=1,1,0),0)</f>
        <v>0</v>
      </c>
      <c r="Z54" s="168">
        <f>IF(Z24=3,IF(Y37=1,1,0),0)</f>
        <v>0</v>
      </c>
      <c r="AA54" s="115">
        <f>IF(AA24=3,IF(AB37=1,1,0),0)</f>
        <v>0</v>
      </c>
      <c r="AC54" s="168">
        <f>IF(AC24=3,IF(AB37=1,1,0),0)</f>
        <v>0</v>
      </c>
      <c r="AD54" s="115">
        <f>IF(AD24=3,IF(AE37=1,1,0),0)</f>
        <v>0</v>
      </c>
      <c r="AF54" s="168">
        <f>IF(AF24=3,IF(AE37=1,1,0),0)</f>
        <v>0</v>
      </c>
      <c r="AG54" s="115">
        <f>SUM(B54:AF54)</f>
        <v>2</v>
      </c>
      <c r="AW54" s="166"/>
    </row>
    <row r="55" spans="1:49" s="115" customFormat="1" ht="12.75" hidden="1" customHeight="1">
      <c r="A55" s="115" t="s">
        <v>46</v>
      </c>
      <c r="B55" s="115">
        <f>IF(B24=4,IF(C37=1,1,0),0)</f>
        <v>0</v>
      </c>
      <c r="D55" s="168">
        <f>IF(D24=4,IF(C37=1,1,0),0)</f>
        <v>0</v>
      </c>
      <c r="E55" s="115">
        <f>IF(E24=4,IF(F37=1,1,0),0)</f>
        <v>0</v>
      </c>
      <c r="G55" s="168">
        <f>IF(G24=4,IF(F37=1,1,0),0)</f>
        <v>1</v>
      </c>
      <c r="H55" s="115">
        <f>IF(H24=4,IF(I37=1,1,0),0)</f>
        <v>0</v>
      </c>
      <c r="J55" s="168">
        <f>IF(J24=4,IF(I37=1,1,0),0)</f>
        <v>1</v>
      </c>
      <c r="K55" s="168"/>
      <c r="L55" s="115">
        <f>IF(L24=4,IF(M37=1,1,0),0)</f>
        <v>0</v>
      </c>
      <c r="N55" s="168">
        <f>IF(N24=4,IF(M37=1,1,0),0)</f>
        <v>0</v>
      </c>
      <c r="O55" s="115">
        <f>IF(O24=4,IF(P37=1,1,0),0)</f>
        <v>0</v>
      </c>
      <c r="Q55" s="168">
        <f>IF(Q24=4,IF(P37=1,1,0),0)</f>
        <v>1</v>
      </c>
      <c r="R55" s="115">
        <f>IF(R24=4,IF(S37=1,1,0),0)</f>
        <v>0</v>
      </c>
      <c r="T55" s="168">
        <f>IF(T24=4,IF(S37=1,1,0),0)</f>
        <v>0</v>
      </c>
      <c r="U55" s="115">
        <f>IF(U24=4,IF(V37=1,1,0),0)</f>
        <v>0</v>
      </c>
      <c r="W55" s="168">
        <f>IF(W24=4,IF(V37=1,1,0),0)</f>
        <v>0</v>
      </c>
      <c r="X55" s="115">
        <f>IF(X24=4,IF(Y37=1,1,0),0)</f>
        <v>0</v>
      </c>
      <c r="Z55" s="168">
        <f>IF(Z24=4,IF(Y37=1,1,0),0)</f>
        <v>0</v>
      </c>
      <c r="AA55" s="115">
        <f>IF(AA24=4,IF(AB37=1,1,0),0)</f>
        <v>0</v>
      </c>
      <c r="AC55" s="168">
        <f>IF(AC24=4,IF(AB37=1,1,0),0)</f>
        <v>0</v>
      </c>
      <c r="AD55" s="115">
        <f>IF(AD24=4,IF(AE37=1,1,0),0)</f>
        <v>0</v>
      </c>
      <c r="AF55" s="168">
        <f>IF(AF24=4,IF(AE37=1,1,0),0)</f>
        <v>0</v>
      </c>
      <c r="AG55" s="115">
        <f>SUM(B55:AF55)</f>
        <v>3</v>
      </c>
      <c r="AW55" s="166"/>
    </row>
    <row r="56" spans="1:49" s="115" customFormat="1" ht="12.75" hidden="1" customHeight="1">
      <c r="A56" s="115" t="s">
        <v>47</v>
      </c>
      <c r="B56" s="115">
        <f>IF(B24=5,IF(C37=1,1,0),0)</f>
        <v>0</v>
      </c>
      <c r="D56" s="168">
        <f>IF(D24=5,IF(C37=1,1,0),0)</f>
        <v>0</v>
      </c>
      <c r="E56" s="115">
        <f>IF(E24=5,IF(F37=1,1,0),0)</f>
        <v>0</v>
      </c>
      <c r="G56" s="168">
        <f>IF(G24=5,IF(F37=1,1,0),0)</f>
        <v>0</v>
      </c>
      <c r="H56" s="115">
        <f>IF(H24=5,IF(I37=1,1,0),0)</f>
        <v>0</v>
      </c>
      <c r="J56" s="168">
        <f>IF(J24=5,IF(I37=1,1,0),0)</f>
        <v>0</v>
      </c>
      <c r="K56" s="168"/>
      <c r="L56" s="115">
        <f>IF(L24=5,IF(M37=1,1,0),0)</f>
        <v>0</v>
      </c>
      <c r="N56" s="168">
        <f>IF(N24=5,IF(M37=1,1,0),0)</f>
        <v>0</v>
      </c>
      <c r="O56" s="115">
        <f>IF(O24=5,IF(P37=1,1,0),0)</f>
        <v>0</v>
      </c>
      <c r="Q56" s="168">
        <f>IF(Q24=5,IF(P37=1,1,0),0)</f>
        <v>0</v>
      </c>
      <c r="R56" s="115">
        <f>IF(R24=5,IF(S37=1,1,0),0)</f>
        <v>0</v>
      </c>
      <c r="T56" s="168">
        <f>IF(T24=5,IF(S37=1,1,0),0)</f>
        <v>0</v>
      </c>
      <c r="U56" s="115">
        <f>IF(U24=5,IF(V37=1,1,0),0)</f>
        <v>0</v>
      </c>
      <c r="W56" s="168">
        <f>IF(W24=5,IF(V37=1,1,0),0)</f>
        <v>0</v>
      </c>
      <c r="X56" s="115">
        <f>IF(X24=5,IF(Y37=1,1,0),0)</f>
        <v>0</v>
      </c>
      <c r="Z56" s="168">
        <f>IF(Z24=5,IF(Y37=1,1,0),0)</f>
        <v>0</v>
      </c>
      <c r="AA56" s="115">
        <f>IF(AA24=5,IF(AB37=1,1,0),0)</f>
        <v>0</v>
      </c>
      <c r="AC56" s="168">
        <f>IF(AC24=5,IF(AB37=1,1,0),0)</f>
        <v>0</v>
      </c>
      <c r="AD56" s="115">
        <f>IF(AD24=5,IF(AE37=1,1,0),0)</f>
        <v>0</v>
      </c>
      <c r="AF56" s="168">
        <f>IF(AF24=5,IF(AE37=1,1,0),0)</f>
        <v>0</v>
      </c>
      <c r="AG56" s="115">
        <f>SUM(B56:AF56)</f>
        <v>0</v>
      </c>
      <c r="AW56" s="166"/>
    </row>
    <row r="57" spans="1:49" s="115" customFormat="1" ht="38.25" hidden="1" customHeight="1">
      <c r="A57" s="167"/>
      <c r="D57" s="168"/>
      <c r="G57" s="168"/>
      <c r="J57" s="168"/>
      <c r="K57" s="168"/>
      <c r="N57" s="168"/>
      <c r="Q57" s="168"/>
      <c r="T57" s="168"/>
      <c r="W57" s="168"/>
      <c r="Z57" s="168"/>
      <c r="AC57" s="168"/>
      <c r="AF57" s="168"/>
      <c r="AG57" s="167" t="s">
        <v>218</v>
      </c>
      <c r="AH57" s="392"/>
      <c r="AI57" s="392"/>
      <c r="AJ57" s="392"/>
      <c r="AK57" s="392"/>
      <c r="AL57" s="392"/>
      <c r="AW57" s="166"/>
    </row>
    <row r="58" spans="1:49" s="115" customFormat="1" ht="12.75" hidden="1" customHeight="1">
      <c r="A58" s="115" t="s">
        <v>43</v>
      </c>
      <c r="B58" s="115">
        <f>IF(B24=1,B44,0)</f>
        <v>0</v>
      </c>
      <c r="D58" s="168">
        <f>IF(D24=1,B44,0)</f>
        <v>0</v>
      </c>
      <c r="E58" s="115">
        <f>IF(E24=1,E44,0)</f>
        <v>49</v>
      </c>
      <c r="G58" s="168">
        <f>IF(G24=1,E44,0)</f>
        <v>0</v>
      </c>
      <c r="H58" s="115">
        <f>IF(H24=1,H44,0)</f>
        <v>0</v>
      </c>
      <c r="J58" s="168">
        <f>IF(J24=1,H44,0)</f>
        <v>0</v>
      </c>
      <c r="K58" s="168"/>
      <c r="L58" s="115">
        <f>IF(L24=1,L44,0)</f>
        <v>42</v>
      </c>
      <c r="N58" s="168">
        <f>IF(N24=1,L44,0)</f>
        <v>0</v>
      </c>
      <c r="O58" s="115">
        <f>IF(O24=1,O44,0)</f>
        <v>0</v>
      </c>
      <c r="Q58" s="168">
        <f>IF(Q24=1,O44,0)</f>
        <v>0</v>
      </c>
      <c r="R58" s="115">
        <f>IF(R24=1,R44,0)</f>
        <v>39</v>
      </c>
      <c r="T58" s="168">
        <f>IF(T24=1,R44,0)</f>
        <v>0</v>
      </c>
      <c r="U58" s="115">
        <f>IF(U24=1,U44,0)</f>
        <v>0</v>
      </c>
      <c r="W58" s="168">
        <f>IF(W24=1,U44,0)</f>
        <v>0</v>
      </c>
      <c r="X58" s="115">
        <f>IF(X24=1,X44,0)</f>
        <v>0</v>
      </c>
      <c r="Z58" s="168">
        <f>IF(Z24=1,X44,0)</f>
        <v>0</v>
      </c>
      <c r="AA58" s="115">
        <f>IF(AA24=1,AA44,0)</f>
        <v>0</v>
      </c>
      <c r="AC58" s="168">
        <f>IF(AC24=1,AA44,0)</f>
        <v>0</v>
      </c>
      <c r="AD58" s="115">
        <f>IF(AD24=1,AD44,0)</f>
        <v>0</v>
      </c>
      <c r="AF58" s="168">
        <f>IF(AF24=1,AD44,0)</f>
        <v>0</v>
      </c>
      <c r="AG58" s="115">
        <f>SUM(B58:AF58)</f>
        <v>130</v>
      </c>
      <c r="AW58" s="166"/>
    </row>
    <row r="59" spans="1:49" s="115" customFormat="1" ht="12.75" hidden="1" customHeight="1">
      <c r="A59" s="115" t="s">
        <v>44</v>
      </c>
      <c r="B59" s="115">
        <f>IF(B24=2,B44,0)</f>
        <v>38</v>
      </c>
      <c r="D59" s="168">
        <f>IF(D24=2,B44,0)</f>
        <v>0</v>
      </c>
      <c r="E59" s="115">
        <f>IF(E24=2,E44,0)</f>
        <v>0</v>
      </c>
      <c r="G59" s="168">
        <f>IF(G24=2,E44,0)</f>
        <v>0</v>
      </c>
      <c r="H59" s="115">
        <f>IF(H24=2,H44,0)</f>
        <v>41</v>
      </c>
      <c r="J59" s="168">
        <f>IF(J24=2,H44,0)</f>
        <v>0</v>
      </c>
      <c r="K59" s="168"/>
      <c r="L59" s="115">
        <f>IF(L24=2,L44,0)</f>
        <v>0</v>
      </c>
      <c r="N59" s="168">
        <f>IF(N24=2,L44,0)</f>
        <v>0</v>
      </c>
      <c r="O59" s="115">
        <f>IF(O24=2,O44,0)</f>
        <v>0</v>
      </c>
      <c r="Q59" s="168">
        <f>IF(Q24=2,O44,0)</f>
        <v>0</v>
      </c>
      <c r="R59" s="115">
        <f>IF(R24=2,R44,0)</f>
        <v>0</v>
      </c>
      <c r="T59" s="168">
        <f>IF(T24=2,R44,0)</f>
        <v>39</v>
      </c>
      <c r="U59" s="115">
        <f>IF(U24=2,U44,0)</f>
        <v>0</v>
      </c>
      <c r="W59" s="168">
        <f>IF(W24=2,U44,0)</f>
        <v>0</v>
      </c>
      <c r="X59" s="115">
        <f>IF(X24=2,X44,0)</f>
        <v>0</v>
      </c>
      <c r="Z59" s="168">
        <f>IF(Z24=2,X44,0)</f>
        <v>0</v>
      </c>
      <c r="AA59" s="115">
        <f>IF(AA24=2,AA44,0)</f>
        <v>0</v>
      </c>
      <c r="AC59" s="168">
        <f>IF(AC24=2,AA44,0)</f>
        <v>0</v>
      </c>
      <c r="AD59" s="115">
        <f>IF(AD24=2,AD44,0)</f>
        <v>0</v>
      </c>
      <c r="AF59" s="168">
        <f>IF(AF24=2,AD44,0)</f>
        <v>0</v>
      </c>
      <c r="AG59" s="115">
        <f>SUM(B59:AF59)</f>
        <v>118</v>
      </c>
      <c r="AW59" s="166"/>
    </row>
    <row r="60" spans="1:49" s="115" customFormat="1" ht="12.75" hidden="1" customHeight="1">
      <c r="A60" s="115" t="s">
        <v>45</v>
      </c>
      <c r="B60" s="115">
        <f>IF(B24=3,B44,0)</f>
        <v>0</v>
      </c>
      <c r="D60" s="168">
        <f>IF(D24=3,B44,0)</f>
        <v>38</v>
      </c>
      <c r="E60" s="115">
        <f>IF(E24=3,E44,0)</f>
        <v>0</v>
      </c>
      <c r="G60" s="168">
        <f>IF(G24=3,E44,0)</f>
        <v>0</v>
      </c>
      <c r="H60" s="115">
        <f>IF(H24=3,H44,0)</f>
        <v>0</v>
      </c>
      <c r="J60" s="168">
        <f>IF(J24=3,H44,0)</f>
        <v>0</v>
      </c>
      <c r="K60" s="168"/>
      <c r="L60" s="115">
        <f>IF(L24=3,L44,0)</f>
        <v>0</v>
      </c>
      <c r="N60" s="168">
        <f>IF(N24=3,L44,0)</f>
        <v>42</v>
      </c>
      <c r="O60" s="115">
        <f>IF(O24=3,O44,0)</f>
        <v>49</v>
      </c>
      <c r="Q60" s="168">
        <f>IF(Q24=3,O44,0)</f>
        <v>0</v>
      </c>
      <c r="R60" s="115">
        <f>IF(R24=3,R44,0)</f>
        <v>0</v>
      </c>
      <c r="T60" s="168">
        <f>IF(T24=3,R44,0)</f>
        <v>0</v>
      </c>
      <c r="U60" s="115">
        <f>IF(U24=3,U44,0)</f>
        <v>0</v>
      </c>
      <c r="W60" s="168">
        <f>IF(W24=3,U44,0)</f>
        <v>0</v>
      </c>
      <c r="X60" s="115">
        <f>IF(X24=3,X44,0)</f>
        <v>0</v>
      </c>
      <c r="Z60" s="168">
        <f>IF(Z24=3,X44,0)</f>
        <v>0</v>
      </c>
      <c r="AA60" s="115">
        <f>IF(AA24=3,AA44,0)</f>
        <v>0</v>
      </c>
      <c r="AC60" s="168">
        <f>IF(AC24=3,AA44,0)</f>
        <v>0</v>
      </c>
      <c r="AD60" s="115">
        <f>IF(AD24=3,AD44,0)</f>
        <v>0</v>
      </c>
      <c r="AF60" s="168">
        <f>IF(AF24=3,AD44,0)</f>
        <v>0</v>
      </c>
      <c r="AG60" s="115">
        <f>SUM(B60:AF60)</f>
        <v>129</v>
      </c>
      <c r="AW60" s="166"/>
    </row>
    <row r="61" spans="1:49" s="115" customFormat="1" ht="12.75" hidden="1" customHeight="1">
      <c r="A61" s="115" t="s">
        <v>46</v>
      </c>
      <c r="B61" s="115">
        <f>IF(B24=4,B44,0)</f>
        <v>0</v>
      </c>
      <c r="D61" s="168">
        <f>IF(D24=4,B44,0)</f>
        <v>0</v>
      </c>
      <c r="E61" s="115">
        <f>IF(E24=4,E44,0)</f>
        <v>0</v>
      </c>
      <c r="G61" s="168">
        <f>IF(G24=4,E44,0)</f>
        <v>49</v>
      </c>
      <c r="H61" s="115">
        <f>IF(H24=4,H44,0)</f>
        <v>0</v>
      </c>
      <c r="J61" s="168">
        <f>IF(J24=4,H44,0)</f>
        <v>41</v>
      </c>
      <c r="K61" s="168"/>
      <c r="L61" s="115">
        <f>IF(L24=4,L44,0)</f>
        <v>0</v>
      </c>
      <c r="N61" s="168">
        <f>IF(N24=4,L44,0)</f>
        <v>0</v>
      </c>
      <c r="O61" s="115">
        <f>IF(O24=4,O44,0)</f>
        <v>0</v>
      </c>
      <c r="Q61" s="168">
        <f>IF(Q24=4,O44,0)</f>
        <v>49</v>
      </c>
      <c r="R61" s="115">
        <f>IF(R24=4,R44,0)</f>
        <v>0</v>
      </c>
      <c r="T61" s="168">
        <f>IF(T24=4,R44,0)</f>
        <v>0</v>
      </c>
      <c r="U61" s="115">
        <f>IF(U24=4,U44,0)</f>
        <v>0</v>
      </c>
      <c r="W61" s="168">
        <f>IF(W24=4,U44,0)</f>
        <v>0</v>
      </c>
      <c r="X61" s="115">
        <f>IF(X24=4,X44,0)</f>
        <v>0</v>
      </c>
      <c r="Z61" s="168">
        <f>IF(Z24=4,X44,0)</f>
        <v>0</v>
      </c>
      <c r="AA61" s="115">
        <f>IF(AA24=4,AA44,0)</f>
        <v>0</v>
      </c>
      <c r="AC61" s="168">
        <f>IF(AC24=4,AA44,0)</f>
        <v>0</v>
      </c>
      <c r="AD61" s="115">
        <f>IF(AD24=4,AD44,0)</f>
        <v>0</v>
      </c>
      <c r="AF61" s="168">
        <f>IF(AF24=4,AD44,0)</f>
        <v>0</v>
      </c>
      <c r="AG61" s="115">
        <f>SUM(B61:AF61)</f>
        <v>139</v>
      </c>
      <c r="AW61" s="166"/>
    </row>
    <row r="62" spans="1:49" s="115" customFormat="1" ht="12.75" hidden="1" customHeight="1">
      <c r="A62" s="115" t="s">
        <v>47</v>
      </c>
      <c r="B62" s="115">
        <f>IF(B24=5,B44,0)</f>
        <v>0</v>
      </c>
      <c r="D62" s="168">
        <f>IF(D24=5,B44,0)</f>
        <v>0</v>
      </c>
      <c r="E62" s="115">
        <f>IF(E24=5,E44,0)</f>
        <v>0</v>
      </c>
      <c r="G62" s="168">
        <f>IF(G24=5,E44,0)</f>
        <v>0</v>
      </c>
      <c r="H62" s="115">
        <f>IF(H24=5,H44,0)</f>
        <v>0</v>
      </c>
      <c r="J62" s="168">
        <f>IF(J24=5,H44,0)</f>
        <v>0</v>
      </c>
      <c r="K62" s="168"/>
      <c r="L62" s="115">
        <f>IF(L24=5,L44,0)</f>
        <v>0</v>
      </c>
      <c r="N62" s="168">
        <f>IF(N24=5,L44,0)</f>
        <v>0</v>
      </c>
      <c r="O62" s="115">
        <f>IF(O24=5,O44,0)</f>
        <v>0</v>
      </c>
      <c r="Q62" s="168">
        <f>IF(Q24=5,O44,0)</f>
        <v>0</v>
      </c>
      <c r="R62" s="115">
        <f>IF(R24=5,R44,0)</f>
        <v>0</v>
      </c>
      <c r="T62" s="168">
        <f>IF(T24=5,R44,0)</f>
        <v>0</v>
      </c>
      <c r="U62" s="115">
        <f>IF(U24=5,U44,0)</f>
        <v>0</v>
      </c>
      <c r="W62" s="168">
        <f>IF(W24=5,U44,0)</f>
        <v>0</v>
      </c>
      <c r="X62" s="115">
        <f>IF(X24=5,X44,0)</f>
        <v>0</v>
      </c>
      <c r="Z62" s="168">
        <f>IF(Z24=5,X44,0)</f>
        <v>0</v>
      </c>
      <c r="AA62" s="115">
        <f>IF(AA24=5,AA44,0)</f>
        <v>0</v>
      </c>
      <c r="AC62" s="168">
        <f>IF(AC24=5,AA44,0)</f>
        <v>0</v>
      </c>
      <c r="AD62" s="115">
        <f>IF(AD24=5,AD44,0)</f>
        <v>0</v>
      </c>
      <c r="AF62" s="168">
        <f>IF(AF24=5,AD44,0)</f>
        <v>0</v>
      </c>
      <c r="AG62" s="115">
        <f>SUM(B62:AF62)</f>
        <v>0</v>
      </c>
      <c r="AW62" s="166"/>
    </row>
    <row r="63" spans="1:49" s="115" customFormat="1" ht="38.25" hidden="1" customHeight="1">
      <c r="A63" s="115" t="s">
        <v>48</v>
      </c>
      <c r="D63" s="168"/>
      <c r="G63" s="168"/>
      <c r="J63" s="168"/>
      <c r="K63" s="168"/>
      <c r="N63" s="168"/>
      <c r="Q63" s="168"/>
      <c r="T63" s="168"/>
      <c r="W63" s="168"/>
      <c r="Z63" s="168"/>
      <c r="AC63" s="168"/>
      <c r="AF63" s="168"/>
      <c r="AG63" s="167" t="s">
        <v>219</v>
      </c>
      <c r="AH63" s="115" t="s">
        <v>220</v>
      </c>
      <c r="AW63" s="166"/>
    </row>
    <row r="64" spans="1:49" s="115" customFormat="1" ht="12.75" hidden="1" customHeight="1">
      <c r="A64" s="115" t="s">
        <v>38</v>
      </c>
      <c r="B64" s="115">
        <f>IF(B24=1,SUMIF(B31:B35,"&gt;0"),0)</f>
        <v>0</v>
      </c>
      <c r="D64" s="168">
        <f>IF(D24=1,SUMIF(D31:D35,"&gt;0"),0)</f>
        <v>0</v>
      </c>
      <c r="E64" s="115">
        <f>IF(E24=1,SUMIF(E31:E35,"&gt;0"),0)</f>
        <v>2</v>
      </c>
      <c r="G64" s="168">
        <f>IF(G24=1,SUMIF(G31:G35,"&gt;0"),0)</f>
        <v>0</v>
      </c>
      <c r="H64" s="115">
        <f>IF(H24=1,SUMIF(H31:H35,"&gt;0"),0)</f>
        <v>0</v>
      </c>
      <c r="J64" s="168">
        <f>IF(J24=1,SUMIF(J31:J35,"&gt;0"),0)</f>
        <v>0</v>
      </c>
      <c r="K64" s="168"/>
      <c r="L64" s="115">
        <f>IF(L24=1,SUMIF(L31:L35,"&gt;0"),0)</f>
        <v>2</v>
      </c>
      <c r="N64" s="168">
        <f>IF(N24=1,SUMIF(N31:N35,"&gt;0"),0)</f>
        <v>0</v>
      </c>
      <c r="O64" s="115">
        <f>IF(O24=1,SUMIF(O31:O35,"&gt;0"),0)</f>
        <v>0</v>
      </c>
      <c r="Q64" s="168">
        <f>IF(Q24=1,SUMIF(Q31:Q35,"&gt;0"),0)</f>
        <v>0</v>
      </c>
      <c r="R64" s="115">
        <f>IF(R24=1,SUMIF(R31:R35,"&gt;0"),0)</f>
        <v>0</v>
      </c>
      <c r="T64" s="168">
        <f>IF(T24=1,SUMIF(T31:T35,"&gt;0"),0)</f>
        <v>0</v>
      </c>
      <c r="U64" s="115">
        <f>IF(U24=1,SUMIF(U31:U35,"&gt;0"),0)</f>
        <v>0</v>
      </c>
      <c r="W64" s="168">
        <f>IF(W24=1,SUMIF(W31:W35,"&gt;0"),0)</f>
        <v>0</v>
      </c>
      <c r="X64" s="115">
        <f>IF(X24=1,SUMIF(X31:X35,"&gt;0"),0)</f>
        <v>0</v>
      </c>
      <c r="Z64" s="168">
        <f>IF(Z24=1,SUMIF(Z31:Z35,"&gt;0"),0)</f>
        <v>0</v>
      </c>
      <c r="AA64" s="115">
        <f>IF(AA24=1,SUMIF(AA31:AA35,"&gt;0"),0)</f>
        <v>0</v>
      </c>
      <c r="AC64" s="168">
        <f>IF(AC24=1,SUMIF(AC31:AC35,"&gt;0"),0)</f>
        <v>0</v>
      </c>
      <c r="AD64" s="115">
        <f>IF(AD24=1,SUMIF(AD31:AD35,"&gt;0"),0)</f>
        <v>0</v>
      </c>
      <c r="AF64" s="168">
        <f>IF(AF24=1,SUMIF(AF31:AF35,"&gt;0"),0)</f>
        <v>0</v>
      </c>
      <c r="AG64" s="115">
        <f>SUM(B64:AF64)</f>
        <v>4</v>
      </c>
      <c r="AH64" s="115">
        <f>AG72-AG64</f>
        <v>2</v>
      </c>
      <c r="AW64" s="166"/>
    </row>
    <row r="65" spans="1:81" s="115" customFormat="1" ht="12.75" hidden="1" customHeight="1">
      <c r="A65" s="115" t="s">
        <v>39</v>
      </c>
      <c r="B65" s="115">
        <f>IF(B24=2,SUMIF(B31:B35,"&gt;0"),0)</f>
        <v>1</v>
      </c>
      <c r="D65" s="168">
        <f>IF(D24=2,SUMIF(D31:D35,"&gt;0"),0)</f>
        <v>0</v>
      </c>
      <c r="E65" s="115">
        <f>IF(E24=2,SUMIF(E31:E35,"&gt;0"),0)</f>
        <v>0</v>
      </c>
      <c r="G65" s="168">
        <f>IF(G24=2,SUMIF(G31:G35,"&gt;0"),0)</f>
        <v>0</v>
      </c>
      <c r="H65" s="115">
        <f>IF(H24=2,SUMIF(H31:H35,"&gt;0"),0)</f>
        <v>2</v>
      </c>
      <c r="J65" s="168">
        <f>IF(J24=2,SUMIF(J31:J35,"&gt;0"),0)</f>
        <v>0</v>
      </c>
      <c r="K65" s="168"/>
      <c r="L65" s="115">
        <f>IF(L24=2,SUMIF(L31:L35,"&gt;0"),0)</f>
        <v>0</v>
      </c>
      <c r="N65" s="168">
        <f>IF(N24=2,SUMIF(N31:N35,"&gt;0"),0)</f>
        <v>0</v>
      </c>
      <c r="O65" s="115">
        <f>IF(O24=2,SUMIF(O31:O35,"&gt;0"),0)</f>
        <v>0</v>
      </c>
      <c r="Q65" s="168">
        <f>IF(Q24=2,SUMIF(Q31:Q35,"&gt;0"),0)</f>
        <v>0</v>
      </c>
      <c r="R65" s="115">
        <f>IF(R24=2,SUMIF(R31:R35,"&gt;0"),0)</f>
        <v>0</v>
      </c>
      <c r="T65" s="168">
        <f>IF(T24=2,SUMIF(T31:T35,"&gt;0"),0)</f>
        <v>2</v>
      </c>
      <c r="U65" s="115">
        <f>IF(U24=2,SUMIF(U31:U35,"&gt;0"),0)</f>
        <v>0</v>
      </c>
      <c r="W65" s="168">
        <f>IF(W24=2,SUMIF(W31:W35,"&gt;0"),0)</f>
        <v>0</v>
      </c>
      <c r="X65" s="115">
        <f>IF(X24=2,SUMIF(X31:X35,"&gt;0"),0)</f>
        <v>0</v>
      </c>
      <c r="Z65" s="168">
        <f>IF(Z24=2,SUMIF(Z31:Z35,"&gt;0"),0)</f>
        <v>0</v>
      </c>
      <c r="AA65" s="115">
        <f>IF(AA24=2,SUMIF(AA31:AA35,"&gt;0"),0)</f>
        <v>0</v>
      </c>
      <c r="AC65" s="168">
        <f>IF(AC24=2,SUMIF(AC31:AC35,"&gt;0"),0)</f>
        <v>0</v>
      </c>
      <c r="AD65" s="115">
        <f>IF(AD24=2,SUMIF(AD31:AD35,"&gt;0"),0)</f>
        <v>0</v>
      </c>
      <c r="AF65" s="168">
        <f>IF(AF24=2,SUMIF(AF31:AF35,"&gt;0"),0)</f>
        <v>0</v>
      </c>
      <c r="AG65" s="115">
        <f>SUM(B65:AF65)</f>
        <v>5</v>
      </c>
      <c r="AH65" s="115">
        <f>AG73-AG65</f>
        <v>1</v>
      </c>
      <c r="AW65" s="166"/>
    </row>
    <row r="66" spans="1:81" s="115" customFormat="1" ht="12.75" hidden="1" customHeight="1">
      <c r="A66" s="115" t="s">
        <v>40</v>
      </c>
      <c r="B66" s="115">
        <f>IF(B24=3,SUMIF(B31:B35,"&gt;0"),0)</f>
        <v>0</v>
      </c>
      <c r="D66" s="168">
        <f>IF(D24=3,SUMIF(D31:D35,"&gt;0"),0)</f>
        <v>1</v>
      </c>
      <c r="E66" s="115">
        <f>IF(E24=3,SUMIF(E31:E35,"&gt;0"),0)</f>
        <v>0</v>
      </c>
      <c r="G66" s="168">
        <f>IF(G24=3,SUMIF(G31:G35,"&gt;0"),0)</f>
        <v>0</v>
      </c>
      <c r="H66" s="115">
        <f>IF(H24=3,SUMIF(H31:H35,"&gt;0"),0)</f>
        <v>0</v>
      </c>
      <c r="J66" s="168">
        <f>IF(J24=3,SUMIF(J31:J35,"&gt;0"),0)</f>
        <v>0</v>
      </c>
      <c r="K66" s="168"/>
      <c r="L66" s="115">
        <f>IF(L24=3,SUMIF(L31:L35,"&gt;0"),0)</f>
        <v>0</v>
      </c>
      <c r="N66" s="168">
        <f>IF(N24=3,SUMIF(N31:N35,"&gt;0"),0)</f>
        <v>0</v>
      </c>
      <c r="O66" s="115">
        <f>IF(O24=3,SUMIF(O31:O35,"&gt;0"),0)</f>
        <v>2</v>
      </c>
      <c r="Q66" s="168">
        <f>IF(Q24=3,SUMIF(Q31:Q35,"&gt;0"),0)</f>
        <v>0</v>
      </c>
      <c r="R66" s="115">
        <f>IF(R24=3,SUMIF(R31:R35,"&gt;0"),0)</f>
        <v>0</v>
      </c>
      <c r="T66" s="168">
        <f>IF(T24=3,SUMIF(T31:T35,"&gt;0"),0)</f>
        <v>0</v>
      </c>
      <c r="U66" s="115">
        <f>IF(U24=3,SUMIF(U31:U35,"&gt;0"),0)</f>
        <v>0</v>
      </c>
      <c r="W66" s="168">
        <f>IF(W24=3,SUMIF(W31:W35,"&gt;0"),0)</f>
        <v>0</v>
      </c>
      <c r="X66" s="115">
        <f>IF(X24=3,SUMIF(X31:X35,"&gt;0"),0)</f>
        <v>0</v>
      </c>
      <c r="Z66" s="168">
        <f>IF(Z24=3,SUMIF(Z31:Z35,"&gt;0"),0)</f>
        <v>0</v>
      </c>
      <c r="AA66" s="115">
        <f>IF(AA24=3,SUMIF(AA31:AA35,"&gt;0"),0)</f>
        <v>0</v>
      </c>
      <c r="AC66" s="168">
        <f>IF(AC24=3,SUMIF(AC31:AC35,"&gt;0"),0)</f>
        <v>0</v>
      </c>
      <c r="AD66" s="115">
        <f>IF(AD24=3,SUMIF(AD31:AD35,"&gt;0"),0)</f>
        <v>0</v>
      </c>
      <c r="AF66" s="168">
        <f>IF(AF24=3,SUMIF(AF31:AF35,"&gt;0"),0)</f>
        <v>0</v>
      </c>
      <c r="AG66" s="115">
        <f>SUM(B66:AF66)</f>
        <v>3</v>
      </c>
      <c r="AH66" s="115">
        <f>AG74-AG66</f>
        <v>3</v>
      </c>
      <c r="AW66" s="166"/>
    </row>
    <row r="67" spans="1:81" s="115" customFormat="1" ht="12.75" hidden="1" customHeight="1">
      <c r="A67" s="115" t="s">
        <v>41</v>
      </c>
      <c r="B67" s="115">
        <f>IF(B24=4,SUMIF(B31:B35,"&gt;0"),0)</f>
        <v>0</v>
      </c>
      <c r="D67" s="168">
        <f>IF(D24=4,SUMIF(D31:D35,"&gt;0"),0)</f>
        <v>0</v>
      </c>
      <c r="E67" s="115">
        <f>IF(E24=4,SUMIF(E31:E35,"&gt;0"),0)</f>
        <v>0</v>
      </c>
      <c r="G67" s="168">
        <f>IF(G24=4,SUMIF(G31:G35,"&gt;0"),0)</f>
        <v>0</v>
      </c>
      <c r="H67" s="115">
        <f>IF(H24=4,SUMIF(H31:H35,"&gt;0"),0)</f>
        <v>0</v>
      </c>
      <c r="J67" s="168">
        <f>IF(J24=4,SUMIF(J31:J35,"&gt;0"),0)</f>
        <v>0</v>
      </c>
      <c r="K67" s="168"/>
      <c r="L67" s="115">
        <f>IF(L24=4,SUMIF(L31:L35,"&gt;0"),0)</f>
        <v>0</v>
      </c>
      <c r="N67" s="168">
        <f>IF(N24=4,SUMIF(N31:N35,"&gt;0"),0)</f>
        <v>0</v>
      </c>
      <c r="O67" s="115">
        <f>IF(O24=4,SUMIF(O31:O35,"&gt;0"),0)</f>
        <v>0</v>
      </c>
      <c r="Q67" s="168">
        <f>IF(Q24=4,SUMIF(Q31:Q35,"&gt;0"),0)</f>
        <v>0</v>
      </c>
      <c r="R67" s="115">
        <f>IF(R24=4,SUMIF(R31:R35,"&gt;0"),0)</f>
        <v>0</v>
      </c>
      <c r="T67" s="168">
        <f>IF(T24=4,SUMIF(T31:T35,"&gt;0"),0)</f>
        <v>0</v>
      </c>
      <c r="U67" s="115">
        <f>IF(U24=4,SUMIF(U31:U35,"&gt;0"),0)</f>
        <v>0</v>
      </c>
      <c r="W67" s="168">
        <f>IF(W24=4,SUMIF(W31:W35,"&gt;0"),0)</f>
        <v>0</v>
      </c>
      <c r="X67" s="115">
        <f>IF(X24=4,SUMIF(X31:X35,"&gt;0"),0)</f>
        <v>0</v>
      </c>
      <c r="Z67" s="168">
        <f>IF(Z24=4,SUMIF(Z31:Z35,"&gt;0"),0)</f>
        <v>0</v>
      </c>
      <c r="AA67" s="115">
        <f>IF(AA24=4,SUMIF(AA31:AA35,"&gt;0"),0)</f>
        <v>0</v>
      </c>
      <c r="AC67" s="168">
        <f>IF(AC24=4,SUMIF(AC31:AC35,"&gt;0"),0)</f>
        <v>0</v>
      </c>
      <c r="AD67" s="115">
        <f>IF(AD24=4,SUMIF(AD31:AD35,"&gt;0"),0)</f>
        <v>0</v>
      </c>
      <c r="AF67" s="168">
        <f>IF(AF24=4,SUMIF(AF31:AF35,"&gt;0"),0)</f>
        <v>0</v>
      </c>
      <c r="AG67" s="115">
        <f>SUM(B67:AF67)</f>
        <v>0</v>
      </c>
      <c r="AH67" s="115">
        <f>AG75-AG67</f>
        <v>6</v>
      </c>
      <c r="AW67" s="166"/>
    </row>
    <row r="68" spans="1:81" s="115" customFormat="1" ht="12.75" hidden="1" customHeight="1">
      <c r="A68" s="115" t="s">
        <v>42</v>
      </c>
      <c r="B68" s="115">
        <f>IF(B24=5,SUMIF(B31:B35,"&gt;0"),0)</f>
        <v>0</v>
      </c>
      <c r="D68" s="168">
        <f>IF(D24=5,SUMIF(D31:D35,"&gt;0"),0)</f>
        <v>0</v>
      </c>
      <c r="E68" s="115">
        <f>IF(E24=5,SUMIF(E31:E35,"&gt;0"),0)</f>
        <v>0</v>
      </c>
      <c r="G68" s="168">
        <f>IF(G24=5,SUMIF(G31:G35,"&gt;0"),0)</f>
        <v>0</v>
      </c>
      <c r="H68" s="115">
        <f>IF(H24=5,SUMIF(H31:H35,"&gt;0"),0)</f>
        <v>0</v>
      </c>
      <c r="J68" s="168">
        <f>IF(J24=5,SUMIF(J31:J35,"&gt;0"),0)</f>
        <v>0</v>
      </c>
      <c r="K68" s="168"/>
      <c r="L68" s="115">
        <f>IF(L24=5,SUMIF(L31:L35,"&gt;0"),0)</f>
        <v>0</v>
      </c>
      <c r="N68" s="168">
        <f>IF(N24=5,SUMIF(N31:N35,"&gt;0"),0)</f>
        <v>0</v>
      </c>
      <c r="O68" s="115">
        <f>IF(O24=5,SUMIF(O31:O35,"&gt;0"),0)</f>
        <v>0</v>
      </c>
      <c r="Q68" s="168">
        <f>IF(Q24=5,SUMIF(Q31:Q35,"&gt;0"),0)</f>
        <v>0</v>
      </c>
      <c r="R68" s="115">
        <f>IF(R24=5,SUMIF(R31:R35,"&gt;0"),0)</f>
        <v>0</v>
      </c>
      <c r="T68" s="168">
        <f>IF(T24=5,SUMIF(T31:T35,"&gt;0"),0)</f>
        <v>0</v>
      </c>
      <c r="U68" s="115">
        <f>IF(U24=5,SUMIF(U31:U35,"&gt;0"),0)</f>
        <v>0</v>
      </c>
      <c r="W68" s="168">
        <f>IF(W24=5,SUMIF(W31:W35,"&gt;0"),0)</f>
        <v>0</v>
      </c>
      <c r="X68" s="115">
        <f>IF(X24=5,SUMIF(X31:X35,"&gt;0"),0)</f>
        <v>0</v>
      </c>
      <c r="Z68" s="168">
        <f>IF(Z24=5,SUMIF(Z31:Z35,"&gt;0"),0)</f>
        <v>0</v>
      </c>
      <c r="AA68" s="115">
        <f>IF(AA24=5,SUMIF(AA31:AA35,"&gt;0"),0)</f>
        <v>0</v>
      </c>
      <c r="AC68" s="168">
        <f>IF(AC24=5,SUMIF(AC31:AC35,"&gt;0"),0)</f>
        <v>0</v>
      </c>
      <c r="AD68" s="115">
        <f>IF(AD24=5,SUMIF(AD31:AD35,"&gt;0"),0)</f>
        <v>0</v>
      </c>
      <c r="AF68" s="168">
        <f>IF(AF24=5,SUMIF(AF31:AF35,"&gt;0"),0)</f>
        <v>0</v>
      </c>
      <c r="AG68" s="115">
        <f>SUM(B68:AF68)</f>
        <v>0</v>
      </c>
      <c r="AH68" s="115">
        <f>AG76-AG68</f>
        <v>0</v>
      </c>
      <c r="AW68" s="166"/>
    </row>
    <row r="69" spans="1:81" s="115" customFormat="1" ht="12.75" hidden="1" customHeight="1">
      <c r="D69" s="168"/>
      <c r="G69" s="168"/>
      <c r="J69" s="168"/>
      <c r="K69" s="168"/>
      <c r="N69" s="168"/>
      <c r="Q69" s="168"/>
      <c r="T69" s="168"/>
      <c r="W69" s="168"/>
      <c r="Z69" s="168"/>
      <c r="AC69" s="168"/>
      <c r="AF69" s="168"/>
      <c r="AW69" s="166"/>
    </row>
    <row r="70" spans="1:81" s="115" customFormat="1" ht="12.75" hidden="1" customHeight="1">
      <c r="D70" s="168"/>
      <c r="G70" s="168"/>
      <c r="J70" s="168"/>
      <c r="K70" s="168"/>
      <c r="N70" s="168"/>
      <c r="Q70" s="168"/>
      <c r="T70" s="168"/>
      <c r="W70" s="168"/>
      <c r="Z70" s="168"/>
      <c r="AC70" s="168"/>
      <c r="AF70" s="168"/>
      <c r="AW70" s="166"/>
    </row>
    <row r="71" spans="1:81" s="115" customFormat="1" ht="51" hidden="1" customHeight="1">
      <c r="A71" s="167" t="s">
        <v>221</v>
      </c>
      <c r="C71" s="115">
        <f>SUMIF(B64:D68,"&gt;0")</f>
        <v>2</v>
      </c>
      <c r="D71" s="168"/>
      <c r="F71" s="115">
        <f>SUMIF(E64:G68,"&gt;0")</f>
        <v>2</v>
      </c>
      <c r="G71" s="168"/>
      <c r="I71" s="115">
        <f>SUMIF(H64:J68,"&gt;0")</f>
        <v>2</v>
      </c>
      <c r="J71" s="168"/>
      <c r="K71" s="168"/>
      <c r="M71" s="115">
        <f>SUMIF(L64:N68,"&gt;0")</f>
        <v>2</v>
      </c>
      <c r="N71" s="168"/>
      <c r="P71" s="115">
        <f>SUMIF(O64:Q68,"&gt;0")</f>
        <v>2</v>
      </c>
      <c r="Q71" s="168"/>
      <c r="S71" s="115">
        <f>SUMIF(R64:T68,"&gt;0")</f>
        <v>2</v>
      </c>
      <c r="T71" s="168"/>
      <c r="V71" s="115">
        <f>SUMIF(U64:W68,"&gt;0")</f>
        <v>0</v>
      </c>
      <c r="W71" s="168"/>
      <c r="Y71" s="115">
        <f>SUMIF(X64:Z68,"&gt;0")</f>
        <v>0</v>
      </c>
      <c r="Z71" s="168"/>
      <c r="AB71" s="115">
        <f>SUMIF(AA64:AC68,"&gt;0")</f>
        <v>0</v>
      </c>
      <c r="AC71" s="168"/>
      <c r="AE71" s="115">
        <f>SUMIF(AD64:AF68,"&gt;0")</f>
        <v>0</v>
      </c>
      <c r="AF71" s="168"/>
      <c r="AG71" s="167" t="s">
        <v>222</v>
      </c>
      <c r="AW71" s="166"/>
    </row>
    <row r="72" spans="1:81" s="115" customFormat="1" ht="12.75" hidden="1" customHeight="1">
      <c r="A72" s="115" t="s">
        <v>43</v>
      </c>
      <c r="B72" s="115">
        <f>IF(B24=1,C71,0)</f>
        <v>0</v>
      </c>
      <c r="D72" s="168">
        <f>IF(D24=1,C71,0)</f>
        <v>0</v>
      </c>
      <c r="E72" s="115">
        <f>IF(E24=1,F71,0)</f>
        <v>2</v>
      </c>
      <c r="G72" s="168">
        <f>IF(G24=1,F71,0)</f>
        <v>0</v>
      </c>
      <c r="H72" s="115">
        <f>IF(H24=1,I71,0)</f>
        <v>0</v>
      </c>
      <c r="J72" s="168">
        <f>IF(J24=1,I71,0)</f>
        <v>0</v>
      </c>
      <c r="K72" s="168"/>
      <c r="L72" s="115">
        <f>IF(L24=1,M71,0)</f>
        <v>2</v>
      </c>
      <c r="N72" s="168">
        <f>IF(N24=1,M71,0)</f>
        <v>0</v>
      </c>
      <c r="O72" s="115">
        <f>IF(O24=1,P71,0)</f>
        <v>0</v>
      </c>
      <c r="Q72" s="168">
        <f>IF(Q24=1,P71,0)</f>
        <v>0</v>
      </c>
      <c r="R72" s="115">
        <f>IF(R24=1,S71,0)</f>
        <v>2</v>
      </c>
      <c r="T72" s="168">
        <f>IF(T24=1,S71,0)</f>
        <v>0</v>
      </c>
      <c r="U72" s="115">
        <f>IF(U24=1,V71,0)</f>
        <v>0</v>
      </c>
      <c r="W72" s="168">
        <f>IF(W24=1,V71,0)</f>
        <v>0</v>
      </c>
      <c r="X72" s="115">
        <f>IF(X24=1,Y71,0)</f>
        <v>0</v>
      </c>
      <c r="Z72" s="168">
        <f>IF(Z24=1,Y71,0)</f>
        <v>0</v>
      </c>
      <c r="AA72" s="115">
        <f>IF(AA24=1,AB71,0)</f>
        <v>0</v>
      </c>
      <c r="AC72" s="168">
        <f>IF(AC24=1,AB71,0)</f>
        <v>0</v>
      </c>
      <c r="AD72" s="115">
        <f>IF(AD24=1,AE71,0)</f>
        <v>0</v>
      </c>
      <c r="AF72" s="168">
        <f>IF(AF24=1,AE71,0)</f>
        <v>0</v>
      </c>
      <c r="AG72" s="115">
        <f>SUM(B72:AF72)</f>
        <v>6</v>
      </c>
      <c r="AW72" s="166"/>
    </row>
    <row r="73" spans="1:81" s="115" customFormat="1" ht="12.75" hidden="1" customHeight="1">
      <c r="A73" s="115" t="s">
        <v>44</v>
      </c>
      <c r="B73" s="115">
        <f>IF(B24=2,C71,0)</f>
        <v>2</v>
      </c>
      <c r="D73" s="168">
        <f>IF(D24=2,C71,0)</f>
        <v>0</v>
      </c>
      <c r="E73" s="115">
        <f>IF(E24=2,F71,0)</f>
        <v>0</v>
      </c>
      <c r="G73" s="168">
        <f>IF(G24=2,F71,0)</f>
        <v>0</v>
      </c>
      <c r="H73" s="115">
        <f>IF(H24=2,I71,0)</f>
        <v>2</v>
      </c>
      <c r="J73" s="168">
        <f>IF(J24=2,I71,0)</f>
        <v>0</v>
      </c>
      <c r="K73" s="168"/>
      <c r="L73" s="115">
        <f>IF(L24=2,M71,0)</f>
        <v>0</v>
      </c>
      <c r="N73" s="168">
        <f>IF(N24=2,M71,0)</f>
        <v>0</v>
      </c>
      <c r="O73" s="115">
        <f>IF(O24=2,P71,0)</f>
        <v>0</v>
      </c>
      <c r="Q73" s="168">
        <f>IF(Q24=2,P71,0)</f>
        <v>0</v>
      </c>
      <c r="R73" s="115">
        <f>IF(R24=2,S71,0)</f>
        <v>0</v>
      </c>
      <c r="T73" s="168">
        <f>IF(T24=2,S71,0)</f>
        <v>2</v>
      </c>
      <c r="U73" s="115">
        <f>IF(U24=2,V71,0)</f>
        <v>0</v>
      </c>
      <c r="W73" s="168">
        <f>IF(W24=2,V71,0)</f>
        <v>0</v>
      </c>
      <c r="X73" s="115">
        <f>IF(X24=2,Y71,0)</f>
        <v>0</v>
      </c>
      <c r="Z73" s="168">
        <f>IF(Z24=2,Y71,0)</f>
        <v>0</v>
      </c>
      <c r="AA73" s="115">
        <f>IF(AA24=2,AB71,0)</f>
        <v>0</v>
      </c>
      <c r="AC73" s="168">
        <f>IF(AC24=2,AB71,0)</f>
        <v>0</v>
      </c>
      <c r="AD73" s="115">
        <f>IF(AD24=2,AE71,0)</f>
        <v>0</v>
      </c>
      <c r="AF73" s="168">
        <f>IF(AF24=2,AE71,0)</f>
        <v>0</v>
      </c>
      <c r="AG73" s="115">
        <f>SUM(B73:AF73)</f>
        <v>6</v>
      </c>
      <c r="AW73" s="166"/>
    </row>
    <row r="74" spans="1:81" s="115" customFormat="1" ht="12.75" hidden="1" customHeight="1">
      <c r="A74" s="115" t="s">
        <v>45</v>
      </c>
      <c r="B74" s="115">
        <f>IF(B24=3,C71,0)</f>
        <v>0</v>
      </c>
      <c r="D74" s="168">
        <f>IF(D24=3,C71,0)</f>
        <v>2</v>
      </c>
      <c r="E74" s="115">
        <f>IF(E24=3,F71,0)</f>
        <v>0</v>
      </c>
      <c r="G74" s="168">
        <f>IF(G24=3,F71,0)</f>
        <v>0</v>
      </c>
      <c r="H74" s="115">
        <f>IF(H24=3,I71,0)</f>
        <v>0</v>
      </c>
      <c r="J74" s="168">
        <f>IF(J24=3,I71,0)</f>
        <v>0</v>
      </c>
      <c r="K74" s="168"/>
      <c r="L74" s="115">
        <f>IF(L24=3,M71,0)</f>
        <v>0</v>
      </c>
      <c r="N74" s="168">
        <f>IF(N24=3,M71,0)</f>
        <v>2</v>
      </c>
      <c r="O74" s="115">
        <f>IF(O24=3,P71,0)</f>
        <v>2</v>
      </c>
      <c r="Q74" s="168">
        <f>IF(Q24=3,P71,0)</f>
        <v>0</v>
      </c>
      <c r="R74" s="115">
        <f>IF(R24=3,S71,0)</f>
        <v>0</v>
      </c>
      <c r="T74" s="168">
        <f>IF(T24=3,S71,0)</f>
        <v>0</v>
      </c>
      <c r="U74" s="115">
        <f>IF(U24=3,V71,0)</f>
        <v>0</v>
      </c>
      <c r="W74" s="168">
        <f>IF(W24=3,V71,0)</f>
        <v>0</v>
      </c>
      <c r="X74" s="115">
        <f>IF(X24=3,Y71,0)</f>
        <v>0</v>
      </c>
      <c r="Z74" s="168">
        <f>IF(Z24=3,Y71,0)</f>
        <v>0</v>
      </c>
      <c r="AA74" s="115">
        <f>IF(AA24=3,AB71,0)</f>
        <v>0</v>
      </c>
      <c r="AC74" s="168">
        <f>IF(AC24=3,AB71,0)</f>
        <v>0</v>
      </c>
      <c r="AD74" s="115">
        <f>IF(AD24=3,AE71,0)</f>
        <v>0</v>
      </c>
      <c r="AF74" s="168">
        <f>IF(AF24=3,AE71,0)</f>
        <v>0</v>
      </c>
      <c r="AG74" s="115">
        <f>SUM(B74:AF74)</f>
        <v>6</v>
      </c>
      <c r="AW74" s="166"/>
    </row>
    <row r="75" spans="1:81" s="115" customFormat="1" ht="12.75" hidden="1" customHeight="1">
      <c r="A75" s="115" t="s">
        <v>46</v>
      </c>
      <c r="B75" s="115">
        <f>IF(B24=4,C71,0)</f>
        <v>0</v>
      </c>
      <c r="D75" s="168">
        <f>IF(D24=4,C71,0)</f>
        <v>0</v>
      </c>
      <c r="E75" s="115">
        <f>IF(E24=4,F71,0)</f>
        <v>0</v>
      </c>
      <c r="G75" s="168">
        <f>IF(G24=4,F71,0)</f>
        <v>2</v>
      </c>
      <c r="H75" s="115">
        <f>IF(H24=4,I71,0)</f>
        <v>0</v>
      </c>
      <c r="J75" s="168">
        <f>IF(J24=4,I71,0)</f>
        <v>2</v>
      </c>
      <c r="K75" s="168"/>
      <c r="L75" s="115">
        <f>IF(L24=4,M71,0)</f>
        <v>0</v>
      </c>
      <c r="N75" s="168">
        <f>IF(N24=4,M71,0)</f>
        <v>0</v>
      </c>
      <c r="O75" s="115">
        <f>IF(O24=4,P71,0)</f>
        <v>0</v>
      </c>
      <c r="Q75" s="168">
        <f>IF(Q24=4,P71,0)</f>
        <v>2</v>
      </c>
      <c r="R75" s="115">
        <f>IF(R24=4,S71,0)</f>
        <v>0</v>
      </c>
      <c r="T75" s="168">
        <f>IF(T24=4,S71,0)</f>
        <v>0</v>
      </c>
      <c r="U75" s="115">
        <f>IF(U24=4,V71,0)</f>
        <v>0</v>
      </c>
      <c r="W75" s="168">
        <f>IF(W24=4,V71,0)</f>
        <v>0</v>
      </c>
      <c r="X75" s="115">
        <f>IF(X24=4,Y71,0)</f>
        <v>0</v>
      </c>
      <c r="Z75" s="168">
        <f>IF(Z24=4,Y71,0)</f>
        <v>0</v>
      </c>
      <c r="AA75" s="115">
        <f>IF(AA24=4,AB71,0)</f>
        <v>0</v>
      </c>
      <c r="AC75" s="168">
        <f>IF(AC24=4,AB71,0)</f>
        <v>0</v>
      </c>
      <c r="AD75" s="115">
        <f>IF(AD24=4,AE71,0)</f>
        <v>0</v>
      </c>
      <c r="AF75" s="168">
        <f>IF(AF24=4,AE71,0)</f>
        <v>0</v>
      </c>
      <c r="AG75" s="115">
        <f>SUM(B75:AF75)</f>
        <v>6</v>
      </c>
      <c r="AW75" s="166"/>
    </row>
    <row r="76" spans="1:81" s="115" customFormat="1" ht="12.75" hidden="1" customHeight="1">
      <c r="A76" s="115" t="s">
        <v>47</v>
      </c>
      <c r="B76" s="115">
        <f>IF(B24=5,C71,0)</f>
        <v>0</v>
      </c>
      <c r="D76" s="168">
        <f>IF(D24=5,C71,0)</f>
        <v>0</v>
      </c>
      <c r="E76" s="115">
        <f>IF(E24=5,F71,0)</f>
        <v>0</v>
      </c>
      <c r="G76" s="168">
        <f>IF(G24=5,F71,0)</f>
        <v>0</v>
      </c>
      <c r="H76" s="115">
        <f>IF(H24=5,I71,0)</f>
        <v>0</v>
      </c>
      <c r="J76" s="168">
        <f>IF(J24=5,I71,0)</f>
        <v>0</v>
      </c>
      <c r="K76" s="168"/>
      <c r="L76" s="115">
        <f>IF(L24=5,M71,0)</f>
        <v>0</v>
      </c>
      <c r="N76" s="168">
        <f>IF(N24=5,M71,0)</f>
        <v>0</v>
      </c>
      <c r="O76" s="115">
        <f>IF(O24=5,P71,0)</f>
        <v>0</v>
      </c>
      <c r="Q76" s="168">
        <f>IF(Q24=5,P71,0)</f>
        <v>0</v>
      </c>
      <c r="R76" s="115">
        <f>IF(R24=5,S71,0)</f>
        <v>0</v>
      </c>
      <c r="T76" s="168">
        <f>IF(T24=5,S71,0)</f>
        <v>0</v>
      </c>
      <c r="U76" s="115">
        <f>IF(U24=5,V71,0)</f>
        <v>0</v>
      </c>
      <c r="W76" s="168">
        <f>IF(W24=5,V71,0)</f>
        <v>0</v>
      </c>
      <c r="X76" s="115">
        <f>IF(X24=5,Y71,0)</f>
        <v>0</v>
      </c>
      <c r="Z76" s="168">
        <f>IF(Z24=5,Y71,0)</f>
        <v>0</v>
      </c>
      <c r="AA76" s="115">
        <f>IF(AA24=5,AB71,0)</f>
        <v>0</v>
      </c>
      <c r="AC76" s="168">
        <f>IF(AC24=5,AB71,0)</f>
        <v>0</v>
      </c>
      <c r="AD76" s="115">
        <f>IF(AD24=5,AE71,0)</f>
        <v>0</v>
      </c>
      <c r="AF76" s="168">
        <f>IF(AF24=5,AE71,0)</f>
        <v>0</v>
      </c>
      <c r="AG76" s="115">
        <f>SUM(B76:AF76)</f>
        <v>0</v>
      </c>
      <c r="AW76" s="166"/>
    </row>
    <row r="77" spans="1:81" hidden="1">
      <c r="A77" s="219"/>
      <c r="B77" s="219"/>
      <c r="C77" s="219"/>
      <c r="D77" s="219"/>
      <c r="E77" s="219"/>
      <c r="F77" s="219"/>
      <c r="G77" s="219"/>
      <c r="H77" s="219"/>
      <c r="I77" s="219"/>
      <c r="J77" s="219"/>
      <c r="K77" s="219"/>
      <c r="L77" s="219"/>
      <c r="M77" s="219"/>
      <c r="N77" s="219"/>
      <c r="O77" s="219"/>
      <c r="P77" s="219"/>
      <c r="Q77" s="219"/>
      <c r="R77" s="219"/>
      <c r="S77" s="219"/>
      <c r="T77" s="219"/>
      <c r="U77" s="219"/>
      <c r="V77" s="219"/>
      <c r="W77" s="219"/>
      <c r="X77" s="219"/>
      <c r="Y77" s="219"/>
      <c r="Z77" s="219"/>
      <c r="AA77" s="219"/>
      <c r="AB77" s="219"/>
      <c r="AC77" s="219"/>
      <c r="AD77" s="219"/>
      <c r="AE77" s="219"/>
      <c r="AF77" s="219"/>
      <c r="AG77" s="219"/>
      <c r="AH77" s="219"/>
      <c r="AI77" s="219"/>
      <c r="AJ77" s="219"/>
      <c r="AK77" s="219"/>
      <c r="AL77" s="219"/>
      <c r="AM77" s="219"/>
      <c r="AN77" s="219"/>
      <c r="AO77" s="220"/>
      <c r="AP77" s="220"/>
      <c r="AQ77" s="220"/>
      <c r="AR77" s="220"/>
      <c r="AS77" s="117"/>
      <c r="AT77" s="117"/>
      <c r="AU77" s="117"/>
      <c r="AV77" s="117"/>
      <c r="BB77" s="39"/>
      <c r="BE77" s="39"/>
      <c r="BH77" s="39"/>
      <c r="BK77" s="39"/>
      <c r="BN77" s="39"/>
      <c r="BQ77" s="39"/>
      <c r="BT77" s="39"/>
      <c r="BW77" s="39"/>
      <c r="BZ77" s="39"/>
      <c r="CC77" s="39"/>
    </row>
    <row r="78" spans="1:81" s="117" customFormat="1" hidden="1">
      <c r="A78" s="34"/>
      <c r="B78" s="34"/>
      <c r="C78" s="34" t="s">
        <v>223</v>
      </c>
      <c r="D78" s="34">
        <v>1</v>
      </c>
      <c r="E78" s="34"/>
      <c r="F78" s="34"/>
      <c r="G78" s="34">
        <v>2</v>
      </c>
      <c r="H78" s="34"/>
      <c r="I78" s="34"/>
      <c r="J78" s="34">
        <v>3</v>
      </c>
      <c r="K78" s="34"/>
      <c r="L78" s="34"/>
      <c r="M78" s="34"/>
      <c r="N78" s="34">
        <v>4</v>
      </c>
      <c r="O78" s="34"/>
      <c r="P78" s="34"/>
      <c r="Q78" s="34">
        <v>5</v>
      </c>
      <c r="R78" s="34"/>
      <c r="S78" s="34"/>
      <c r="T78" s="34">
        <v>6</v>
      </c>
      <c r="U78" s="34"/>
      <c r="V78" s="34"/>
      <c r="W78" s="34">
        <v>7</v>
      </c>
      <c r="X78" s="34"/>
      <c r="Y78" s="34"/>
      <c r="Z78" s="34">
        <v>8</v>
      </c>
      <c r="AA78" s="34"/>
      <c r="AB78" s="34"/>
      <c r="AC78" s="34">
        <v>9</v>
      </c>
      <c r="AD78" s="34"/>
      <c r="AE78" s="34"/>
      <c r="AF78" s="34">
        <v>10</v>
      </c>
      <c r="AG78" s="3"/>
      <c r="AH78" s="34"/>
      <c r="AJ78" s="169"/>
      <c r="AK78" s="3"/>
      <c r="AL78" s="3"/>
      <c r="AM78" s="3"/>
      <c r="AN78" s="3"/>
      <c r="AO78" s="3"/>
      <c r="AP78" s="3"/>
      <c r="AT78" s="169" t="s">
        <v>224</v>
      </c>
      <c r="AW78" s="170"/>
      <c r="BB78" s="170"/>
      <c r="BE78" s="170"/>
      <c r="BH78" s="170"/>
      <c r="BK78" s="170"/>
      <c r="BN78" s="170"/>
      <c r="BQ78" s="170"/>
      <c r="BT78" s="170"/>
      <c r="BW78" s="170"/>
      <c r="BZ78" s="170"/>
      <c r="CC78" s="170"/>
    </row>
    <row r="79" spans="1:81" s="117" customFormat="1" hidden="1">
      <c r="A79" s="171">
        <v>1</v>
      </c>
      <c r="B79" s="171" t="str">
        <f>E8</f>
        <v>Magnum 12 Blue</v>
      </c>
      <c r="C79" s="171">
        <f>VLOOKUP(B79,AU$3:AY$33,3,FALSE)</f>
        <v>1422.8576396200242</v>
      </c>
      <c r="D79" s="171">
        <f>IF(B72,B87,IF(D72,D87,C79))</f>
        <v>1422.8576396200242</v>
      </c>
      <c r="E79" s="171"/>
      <c r="F79" s="171"/>
      <c r="G79" s="171">
        <f>IF(E72,E87,IF(G72,G87,D79))</f>
        <v>1429.5778072648786</v>
      </c>
      <c r="H79" s="171"/>
      <c r="I79" s="171"/>
      <c r="J79" s="171">
        <f>IF(H72,H87,IF(J72,J87,G79))</f>
        <v>1429.5778072648786</v>
      </c>
      <c r="K79" s="171"/>
      <c r="L79" s="171"/>
      <c r="M79" s="171"/>
      <c r="N79" s="171">
        <f>IF(L72,L87,IF(N72,N87,J79))</f>
        <v>1445.7239180369847</v>
      </c>
      <c r="O79" s="171"/>
      <c r="P79" s="171"/>
      <c r="Q79" s="171">
        <f>IF(O72,O87,IF(Q72,Q87,N79))</f>
        <v>1445.7239180369847</v>
      </c>
      <c r="R79" s="171"/>
      <c r="S79" s="171"/>
      <c r="T79" s="171">
        <f>IF(R72,R87,IF(T72,T87,Q79))</f>
        <v>1428.9471659044832</v>
      </c>
      <c r="U79" s="171"/>
      <c r="V79" s="171"/>
      <c r="W79" s="171">
        <f>IF(U72,U87,IF(W72,W87,T79))</f>
        <v>1428.9471659044832</v>
      </c>
      <c r="X79" s="171"/>
      <c r="Y79" s="171"/>
      <c r="Z79" s="171">
        <f>IF(X72,X87,IF(Z72,Z87,W79))</f>
        <v>1428.9471659044832</v>
      </c>
      <c r="AA79" s="171"/>
      <c r="AB79" s="171"/>
      <c r="AC79" s="171">
        <f>IF(AA72,AA87,IF(AC72,AC87,Z79))</f>
        <v>1428.9471659044832</v>
      </c>
      <c r="AD79" s="171"/>
      <c r="AE79" s="171"/>
      <c r="AF79" s="171">
        <f>IF(AD72,AD87,IF(AF72,AF87,AC79))</f>
        <v>1428.9471659044832</v>
      </c>
      <c r="AG79" s="3"/>
      <c r="AH79" s="3"/>
      <c r="AK79" s="3"/>
      <c r="AL79" s="3"/>
      <c r="AM79" s="3"/>
      <c r="AN79" s="3"/>
      <c r="AO79" s="3"/>
      <c r="AP79" s="3"/>
      <c r="AT79" s="117" t="str">
        <f>B79</f>
        <v>Magnum 12 Blue</v>
      </c>
      <c r="AU79" s="117">
        <f>AF79</f>
        <v>1428.9471659044832</v>
      </c>
      <c r="AW79" s="170"/>
      <c r="BB79" s="170"/>
      <c r="BE79" s="170"/>
      <c r="BH79" s="170"/>
      <c r="BK79" s="170"/>
      <c r="BN79" s="170"/>
      <c r="BQ79" s="170"/>
      <c r="BT79" s="170"/>
      <c r="BW79" s="170"/>
      <c r="BZ79" s="170"/>
      <c r="CC79" s="170"/>
    </row>
    <row r="80" spans="1:81" s="117" customFormat="1" hidden="1">
      <c r="A80" s="171">
        <v>2</v>
      </c>
      <c r="B80" s="171" t="str">
        <f>E10</f>
        <v>Magnum Aiken 12 Yellow</v>
      </c>
      <c r="C80" s="171">
        <f>VLOOKUP(B80,AU$3:AY$33,3,FALSE)</f>
        <v>1421.7808589388503</v>
      </c>
      <c r="D80" s="171">
        <f>IF(B73,B87,IF(D73,D87,C80))</f>
        <v>1422.3102212702738</v>
      </c>
      <c r="E80" s="171"/>
      <c r="F80" s="171"/>
      <c r="G80" s="171">
        <f>IF(E73,E87,IF(G73,G87,D80))</f>
        <v>1422.3102212702738</v>
      </c>
      <c r="H80" s="171"/>
      <c r="I80" s="171"/>
      <c r="J80" s="171">
        <f>IF(H73,H87,IF(J73,J87,G80))</f>
        <v>1428.8436902701242</v>
      </c>
      <c r="K80" s="171"/>
      <c r="L80" s="171"/>
      <c r="M80" s="171"/>
      <c r="N80" s="171">
        <f>IF(L73,L87,IF(N73,N87,J80))</f>
        <v>1428.8436902701242</v>
      </c>
      <c r="O80" s="171"/>
      <c r="P80" s="171"/>
      <c r="Q80" s="171">
        <f>IF(O73,O87,IF(Q73,Q87,N80))</f>
        <v>1428.8436902701242</v>
      </c>
      <c r="R80" s="171"/>
      <c r="S80" s="171"/>
      <c r="T80" s="171">
        <f>IF(R73,R87,IF(T73,T87,Q80))</f>
        <v>1445.6204424026257</v>
      </c>
      <c r="U80" s="171"/>
      <c r="V80" s="171"/>
      <c r="W80" s="171">
        <f>IF(U73,U87,IF(W73,W87,T80))</f>
        <v>1445.6204424026257</v>
      </c>
      <c r="X80" s="171"/>
      <c r="Y80" s="171"/>
      <c r="Z80" s="171">
        <f>IF(X73,X87,IF(Z73,Z87,W80))</f>
        <v>1445.6204424026257</v>
      </c>
      <c r="AA80" s="171"/>
      <c r="AB80" s="171"/>
      <c r="AC80" s="171">
        <f>IF(AA73,AA87,IF(AC73,AC87,Z80))</f>
        <v>1445.6204424026257</v>
      </c>
      <c r="AD80" s="171"/>
      <c r="AE80" s="171"/>
      <c r="AF80" s="171">
        <f>IF(AD73,AD87,IF(AF73,AF87,AC80))</f>
        <v>1445.6204424026257</v>
      </c>
      <c r="AG80" s="3"/>
      <c r="AH80" s="3"/>
      <c r="AK80" s="3"/>
      <c r="AM80" s="3"/>
      <c r="AN80" s="3"/>
      <c r="AO80" s="3"/>
      <c r="AP80" s="3"/>
      <c r="AT80" s="117" t="str">
        <f>B80</f>
        <v>Magnum Aiken 12 Yellow</v>
      </c>
      <c r="AU80" s="117">
        <f>AF80</f>
        <v>1445.6204424026257</v>
      </c>
      <c r="AW80" s="170"/>
      <c r="BB80" s="170"/>
      <c r="BE80" s="170"/>
      <c r="BH80" s="170"/>
      <c r="BK80" s="170"/>
      <c r="BN80" s="170"/>
      <c r="BQ80" s="170"/>
      <c r="BT80" s="170"/>
      <c r="BW80" s="170"/>
      <c r="BZ80" s="170"/>
      <c r="CC80" s="170"/>
    </row>
    <row r="81" spans="1:81" s="117" customFormat="1" hidden="1">
      <c r="A81" s="171">
        <v>3</v>
      </c>
      <c r="B81" s="171" t="str">
        <f>E12</f>
        <v>USA 12 Purple</v>
      </c>
      <c r="C81" s="171">
        <f>VLOOKUP(B81,AU$3:AY$33,3,FALSE)</f>
        <v>1433.2800128984868</v>
      </c>
      <c r="D81" s="171">
        <f>IF(B74,B87,IF(D74,D87,C81))</f>
        <v>1432.7506505670633</v>
      </c>
      <c r="E81" s="171"/>
      <c r="F81" s="171"/>
      <c r="G81" s="171">
        <f>IF(E74,E87,IF(G74,G87,D81))</f>
        <v>1432.7506505670633</v>
      </c>
      <c r="H81" s="171"/>
      <c r="I81" s="171"/>
      <c r="J81" s="171">
        <f>IF(H74,H87,IF(J74,J87,G81))</f>
        <v>1432.7506505670633</v>
      </c>
      <c r="K81" s="171"/>
      <c r="L81" s="171"/>
      <c r="M81" s="171"/>
      <c r="N81" s="171">
        <f>IF(L74,L87,IF(N74,N87,J81))</f>
        <v>1416.6045397949572</v>
      </c>
      <c r="O81" s="171"/>
      <c r="P81" s="171"/>
      <c r="Q81" s="171">
        <f>IF(O74,O87,IF(Q74,Q87,N81))</f>
        <v>1423.113267317799</v>
      </c>
      <c r="R81" s="171"/>
      <c r="S81" s="171"/>
      <c r="T81" s="171">
        <f>IF(R74,R87,IF(T74,T87,Q81))</f>
        <v>1423.113267317799</v>
      </c>
      <c r="U81" s="171"/>
      <c r="V81" s="171"/>
      <c r="W81" s="171">
        <f>IF(U74,U87,IF(W74,W87,T81))</f>
        <v>1423.113267317799</v>
      </c>
      <c r="X81" s="171"/>
      <c r="Y81" s="171"/>
      <c r="Z81" s="171">
        <f>IF(X74,X87,IF(Z74,Z87,W81))</f>
        <v>1423.113267317799</v>
      </c>
      <c r="AA81" s="171"/>
      <c r="AB81" s="171"/>
      <c r="AC81" s="171">
        <f>IF(AA74,AA87,IF(AC74,AC87,Z81))</f>
        <v>1423.113267317799</v>
      </c>
      <c r="AD81" s="171"/>
      <c r="AE81" s="171"/>
      <c r="AF81" s="171">
        <f>IF(AD74,AD87,IF(AF74,AF87,AC81))</f>
        <v>1423.113267317799</v>
      </c>
      <c r="AG81" s="3"/>
      <c r="AH81" s="3"/>
      <c r="AK81" s="3"/>
      <c r="AM81" s="3"/>
      <c r="AN81" s="3"/>
      <c r="AO81" s="3"/>
      <c r="AP81" s="3"/>
      <c r="AT81" s="117" t="str">
        <f>B81</f>
        <v>USA 12 Purple</v>
      </c>
      <c r="AU81" s="117">
        <f>AF81</f>
        <v>1423.113267317799</v>
      </c>
      <c r="AW81" s="170"/>
      <c r="BB81" s="170"/>
      <c r="BE81" s="170"/>
      <c r="BH81" s="170"/>
      <c r="BK81" s="170"/>
      <c r="BN81" s="170"/>
      <c r="BQ81" s="170"/>
      <c r="BT81" s="170"/>
      <c r="BW81" s="170"/>
      <c r="BZ81" s="170"/>
      <c r="CC81" s="170"/>
    </row>
    <row r="82" spans="1:81" s="117" customFormat="1" hidden="1">
      <c r="A82" s="171">
        <v>4</v>
      </c>
      <c r="B82" s="171" t="str">
        <f>E14</f>
        <v>SC Midlands KP Gray</v>
      </c>
      <c r="C82" s="171">
        <f>VLOOKUP(B82,AU$3:AY$33,3,FALSE)</f>
        <v>1192.7000067243928</v>
      </c>
      <c r="D82" s="171">
        <f>IF(B75,B87,IF(D75,D87,C82))</f>
        <v>1192.7000067243928</v>
      </c>
      <c r="E82" s="171"/>
      <c r="F82" s="171"/>
      <c r="G82" s="171">
        <f>IF(E75,E87,IF(G75,G87,D82))</f>
        <v>1185.9798390795384</v>
      </c>
      <c r="H82" s="171"/>
      <c r="I82" s="171"/>
      <c r="J82" s="171">
        <f>IF(H75,H87,IF(J75,J87,G82))</f>
        <v>1179.446370079688</v>
      </c>
      <c r="K82" s="171"/>
      <c r="L82" s="171"/>
      <c r="M82" s="171"/>
      <c r="N82" s="171">
        <f>IF(L75,L87,IF(N75,N87,J82))</f>
        <v>1179.446370079688</v>
      </c>
      <c r="O82" s="171"/>
      <c r="P82" s="171"/>
      <c r="Q82" s="171">
        <f>IF(O75,O87,IF(Q75,Q87,N82))</f>
        <v>1172.9376425568462</v>
      </c>
      <c r="R82" s="171"/>
      <c r="S82" s="171"/>
      <c r="T82" s="171">
        <f>IF(R75,R87,IF(T75,T87,Q82))</f>
        <v>1172.9376425568462</v>
      </c>
      <c r="U82" s="171"/>
      <c r="V82" s="171"/>
      <c r="W82" s="171">
        <f>IF(U75,U87,IF(W75,W87,T82))</f>
        <v>1172.9376425568462</v>
      </c>
      <c r="X82" s="171"/>
      <c r="Y82" s="171"/>
      <c r="Z82" s="171">
        <f>IF(X75,X87,IF(Z75,Z87,W82))</f>
        <v>1172.9376425568462</v>
      </c>
      <c r="AA82" s="171"/>
      <c r="AB82" s="171"/>
      <c r="AC82" s="171">
        <f>IF(AA75,AA87,IF(AC75,AC87,Z82))</f>
        <v>1172.9376425568462</v>
      </c>
      <c r="AD82" s="171"/>
      <c r="AE82" s="171"/>
      <c r="AF82" s="171">
        <f>IF(AD75,AD87,IF(AF75,AF87,AC82))</f>
        <v>1172.9376425568462</v>
      </c>
      <c r="AG82" s="3"/>
      <c r="AH82" s="3"/>
      <c r="AK82" s="3"/>
      <c r="AM82" s="3"/>
      <c r="AN82" s="3"/>
      <c r="AO82" s="3"/>
      <c r="AP82" s="3"/>
      <c r="AT82" s="117" t="str">
        <f>B82</f>
        <v>SC Midlands KP Gray</v>
      </c>
      <c r="AU82" s="117">
        <f>AF82</f>
        <v>1172.9376425568462</v>
      </c>
      <c r="AW82" s="170"/>
      <c r="BB82" s="170"/>
      <c r="BE82" s="170"/>
      <c r="BH82" s="170"/>
      <c r="BK82" s="170"/>
      <c r="BN82" s="170"/>
      <c r="BQ82" s="170"/>
      <c r="BT82" s="170"/>
      <c r="BW82" s="170"/>
      <c r="BZ82" s="170"/>
      <c r="CC82" s="170"/>
    </row>
    <row r="83" spans="1:81" s="117" customFormat="1" hidden="1">
      <c r="A83" s="171">
        <v>5</v>
      </c>
      <c r="B83" s="171">
        <f>E16</f>
        <v>0</v>
      </c>
      <c r="C83" s="171" t="e">
        <f>VLOOKUP(B83,AU$3:AY$33,3,FALSE)</f>
        <v>#N/A</v>
      </c>
      <c r="D83" s="171" t="e">
        <f>IF(B76,B87,IF(D76,D87,C83))</f>
        <v>#N/A</v>
      </c>
      <c r="E83" s="171"/>
      <c r="F83" s="171"/>
      <c r="G83" s="171" t="e">
        <f>IF(E76,E87,IF(G76,G87,D83))</f>
        <v>#N/A</v>
      </c>
      <c r="H83" s="171"/>
      <c r="I83" s="171"/>
      <c r="J83" s="171" t="e">
        <f>IF(H76,H87,IF(J76,J87,G83))</f>
        <v>#N/A</v>
      </c>
      <c r="K83" s="171"/>
      <c r="L83" s="171"/>
      <c r="M83" s="171"/>
      <c r="N83" s="171" t="e">
        <f>IF(L76,L87,IF(N76,N87,J83))</f>
        <v>#N/A</v>
      </c>
      <c r="O83" s="171"/>
      <c r="P83" s="171"/>
      <c r="Q83" s="171" t="e">
        <f>IF(O76,O87,IF(Q76,Q87,N83))</f>
        <v>#N/A</v>
      </c>
      <c r="R83" s="171"/>
      <c r="S83" s="171"/>
      <c r="T83" s="171" t="e">
        <f>IF(R76,R87,IF(T76,T87,Q83))</f>
        <v>#N/A</v>
      </c>
      <c r="U83" s="171"/>
      <c r="V83" s="171"/>
      <c r="W83" s="171" t="e">
        <f>IF(U76,U87,IF(W76,W87,T83))</f>
        <v>#N/A</v>
      </c>
      <c r="X83" s="171"/>
      <c r="Y83" s="171"/>
      <c r="Z83" s="171" t="e">
        <f>IF(X76,X87,IF(Z76,Z87,W83))</f>
        <v>#N/A</v>
      </c>
      <c r="AA83" s="171"/>
      <c r="AB83" s="171"/>
      <c r="AC83" s="171" t="e">
        <f>IF(AA76,AA87,IF(AC76,AC87,Z83))</f>
        <v>#N/A</v>
      </c>
      <c r="AD83" s="171"/>
      <c r="AE83" s="171"/>
      <c r="AF83" s="171" t="e">
        <f>IF(AD76,AD87,IF(AF76,AF87,AC83))</f>
        <v>#N/A</v>
      </c>
      <c r="AG83" s="3"/>
      <c r="AH83" s="3"/>
      <c r="AK83" s="3"/>
      <c r="AM83" s="3"/>
      <c r="AN83" s="3"/>
      <c r="AO83" s="3"/>
      <c r="AP83" s="3"/>
      <c r="AT83" s="117">
        <f>B83</f>
        <v>0</v>
      </c>
      <c r="AU83" s="117" t="e">
        <f>AF83</f>
        <v>#N/A</v>
      </c>
      <c r="AW83" s="170"/>
      <c r="BB83" s="170"/>
      <c r="BE83" s="170"/>
      <c r="BH83" s="170"/>
      <c r="BK83" s="170"/>
      <c r="BN83" s="170"/>
      <c r="BQ83" s="170"/>
      <c r="BT83" s="170"/>
      <c r="BW83" s="170"/>
      <c r="BZ83" s="170"/>
      <c r="CC83" s="170"/>
    </row>
    <row r="84" spans="1:81" s="117" customFormat="1" hidden="1">
      <c r="A84" s="171"/>
      <c r="B84" s="171"/>
      <c r="C84" s="171"/>
      <c r="D84" s="171"/>
      <c r="E84" s="171"/>
      <c r="F84" s="171"/>
      <c r="G84" s="171"/>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171"/>
      <c r="AG84" s="3"/>
      <c r="AH84" s="3"/>
      <c r="AK84" s="3"/>
      <c r="AM84" s="3"/>
      <c r="AN84" s="3"/>
      <c r="AO84" s="3"/>
      <c r="AP84" s="3"/>
      <c r="AW84" s="170"/>
      <c r="BB84" s="170"/>
      <c r="BE84" s="170"/>
      <c r="BH84" s="170"/>
      <c r="BK84" s="170"/>
      <c r="BN84" s="170"/>
      <c r="BQ84" s="170"/>
      <c r="BT84" s="170"/>
      <c r="BW84" s="170"/>
      <c r="BZ84" s="170"/>
      <c r="CC84" s="170"/>
    </row>
    <row r="85" spans="1:81" s="117" customFormat="1" hidden="1">
      <c r="A85" s="171" t="s">
        <v>225</v>
      </c>
      <c r="B85" s="171">
        <f>VLOOKUP(B24,$A79:$AF83,3,FALSE)</f>
        <v>1421.7808589388503</v>
      </c>
      <c r="C85" s="171">
        <v>1</v>
      </c>
      <c r="D85" s="171">
        <f>VLOOKUP(D24,$A79:$AF83,3,FALSE)</f>
        <v>1433.2800128984868</v>
      </c>
      <c r="E85" s="171">
        <f>VLOOKUP(E24,$A79:$AF83,4,FALSE)</f>
        <v>1422.8576396200242</v>
      </c>
      <c r="F85" s="171">
        <v>2</v>
      </c>
      <c r="G85" s="171">
        <f>VLOOKUP(G24,$A79:$AF83,4,FALSE)</f>
        <v>1192.7000067243928</v>
      </c>
      <c r="H85" s="171">
        <f>VLOOKUP(H24,$A79:$AF83,7,FALSE)</f>
        <v>1422.3102212702738</v>
      </c>
      <c r="I85" s="171">
        <v>3</v>
      </c>
      <c r="J85" s="171">
        <f>VLOOKUP(J24,$A79:$AF83,7,FALSE)</f>
        <v>1185.9798390795384</v>
      </c>
      <c r="K85" s="171"/>
      <c r="L85" s="171">
        <f>VLOOKUP(L24,$A79:$AF83,10,FALSE)</f>
        <v>1429.5778072648786</v>
      </c>
      <c r="M85" s="171">
        <v>4</v>
      </c>
      <c r="N85" s="171">
        <f>VLOOKUP(N24,$A79:$AF83,10,FALSE)</f>
        <v>1432.7506505670633</v>
      </c>
      <c r="O85" s="171">
        <f>VLOOKUP(O24,$A79:$AF83,14,FALSE)</f>
        <v>1416.6045397949572</v>
      </c>
      <c r="P85" s="171">
        <v>5</v>
      </c>
      <c r="Q85" s="171">
        <f>VLOOKUP(Q24,$A79:$AF83,14,FALSE)</f>
        <v>1179.446370079688</v>
      </c>
      <c r="R85" s="171">
        <f>VLOOKUP(R24,$A79:$AF83,17,FALSE)</f>
        <v>1445.7239180369847</v>
      </c>
      <c r="S85" s="171">
        <v>6</v>
      </c>
      <c r="T85" s="171">
        <f>VLOOKUP(T24,$A79:$AF83,17,FALSE)</f>
        <v>1428.8436902701242</v>
      </c>
      <c r="U85" s="171" t="e">
        <f>VLOOKUP(U24,$A79:$AF83,20,FALSE)</f>
        <v>#N/A</v>
      </c>
      <c r="V85" s="171">
        <v>7</v>
      </c>
      <c r="W85" s="171" t="e">
        <f>VLOOKUP(W24,$A79:$AF83,20,FALSE)</f>
        <v>#N/A</v>
      </c>
      <c r="X85" s="171" t="e">
        <f>VLOOKUP(X24,$A79:$AF83,23,FALSE)</f>
        <v>#N/A</v>
      </c>
      <c r="Y85" s="171">
        <v>8</v>
      </c>
      <c r="Z85" s="171" t="e">
        <f>VLOOKUP(Z24,$A79:$AF83,23,FALSE)</f>
        <v>#N/A</v>
      </c>
      <c r="AA85" s="171" t="e">
        <f>VLOOKUP(AA24,$A79:$AF83,26,FALSE)</f>
        <v>#N/A</v>
      </c>
      <c r="AB85" s="171">
        <v>9</v>
      </c>
      <c r="AC85" s="171" t="e">
        <f>VLOOKUP(AC24,$A79:$AF83,26,FALSE)</f>
        <v>#N/A</v>
      </c>
      <c r="AD85" s="171" t="e">
        <f>VLOOKUP(AD24,$A79:$AF83,29,FALSE)</f>
        <v>#N/A</v>
      </c>
      <c r="AE85" s="171">
        <v>10</v>
      </c>
      <c r="AF85" s="171" t="e">
        <f>VLOOKUP(AF24,$A79:$AF83,29,FALSE)</f>
        <v>#N/A</v>
      </c>
      <c r="AG85" s="3"/>
      <c r="AH85" s="219"/>
      <c r="AI85" s="219"/>
      <c r="AJ85" s="219"/>
      <c r="AK85" s="219"/>
      <c r="AL85" s="219"/>
      <c r="AM85" s="219"/>
      <c r="AN85" s="219"/>
      <c r="AO85" s="220"/>
      <c r="AP85" s="220"/>
      <c r="AQ85" s="220"/>
      <c r="AR85" s="220"/>
      <c r="AW85" s="170"/>
      <c r="BB85" s="170"/>
      <c r="BE85" s="170"/>
      <c r="BH85" s="170"/>
      <c r="BK85" s="170"/>
      <c r="BN85" s="170"/>
      <c r="BQ85" s="170"/>
      <c r="BT85" s="170"/>
      <c r="BW85" s="170"/>
      <c r="BZ85" s="170"/>
      <c r="CC85" s="170"/>
    </row>
    <row r="86" spans="1:81" s="176" customFormat="1" hidden="1">
      <c r="A86" s="172" t="s">
        <v>226</v>
      </c>
      <c r="B86" s="172">
        <f>1/(1+(10^-((B85-D85)/400)))*(B36+D36)</f>
        <v>0.96691485428603507</v>
      </c>
      <c r="C86" s="172"/>
      <c r="D86" s="172">
        <f>1/(1+(10^-((D85-B85)/400)))*(B36+D36)</f>
        <v>1.0330851457139651</v>
      </c>
      <c r="E86" s="172">
        <f>1/(1+(10^-((E85-G85)/400)))*(E36+G36)</f>
        <v>1.5799895221965998</v>
      </c>
      <c r="F86" s="172"/>
      <c r="G86" s="172">
        <f>1/(1+(10^-((G85-E85)/400)))*(E36+G36)</f>
        <v>0.42001047780340028</v>
      </c>
      <c r="H86" s="172">
        <f>1/(1+(10^-((H85-J85)/400)))*(H36+J36)</f>
        <v>1.5916581875093514</v>
      </c>
      <c r="I86" s="172"/>
      <c r="J86" s="172">
        <f>1/(1+(10^-((J85-H85)/400)))*(H36+J36)</f>
        <v>0.40834181249064855</v>
      </c>
      <c r="K86" s="172"/>
      <c r="L86" s="172">
        <f>1/(1+(10^-((L85-N85)/400)))*(L36+N36)</f>
        <v>0.99086807674336419</v>
      </c>
      <c r="M86" s="172"/>
      <c r="N86" s="172">
        <f>1/(1+(10^-((N85-L85)/400)))*(L36+N36)</f>
        <v>1.0091319232566358</v>
      </c>
      <c r="O86" s="172">
        <f>1/(1+(10^-((O85-Q85)/400)))*(O36+Q36)</f>
        <v>1.5932045298223849</v>
      </c>
      <c r="P86" s="172"/>
      <c r="Q86" s="172">
        <f>1/(1+(10^-((Q85-O85)/400)))*(O36+Q36)</f>
        <v>0.40679547017761497</v>
      </c>
      <c r="R86" s="172">
        <f>1/(1+(10^-((R85-T85)/400)))*(R36+T36)</f>
        <v>1.0485470082813524</v>
      </c>
      <c r="S86" s="172"/>
      <c r="T86" s="172">
        <f>1/(1+(10^-((T85-R85)/400)))*(R36+T36)</f>
        <v>0.9514529917186475</v>
      </c>
      <c r="U86" s="172" t="e">
        <f>1/(1+(10^-((U85-W85)/400)))*(U36+W36)</f>
        <v>#N/A</v>
      </c>
      <c r="V86" s="172"/>
      <c r="W86" s="172" t="e">
        <f>1/(1+(10^-((W85-U85)/400)))*(U36+W36)</f>
        <v>#N/A</v>
      </c>
      <c r="X86" s="172" t="e">
        <f>1/(1+(10^-((X85-Z85)/400)))*(X36+Z36)</f>
        <v>#N/A</v>
      </c>
      <c r="Y86" s="172"/>
      <c r="Z86" s="172" t="e">
        <f>1/(1+(10^-((Z85-X85)/400)))*(X36+Z36)</f>
        <v>#N/A</v>
      </c>
      <c r="AA86" s="172" t="e">
        <f>1/(1+(10^-((AA85-AC85)/400)))*(AA36+AC36)</f>
        <v>#N/A</v>
      </c>
      <c r="AB86" s="172"/>
      <c r="AC86" s="172" t="e">
        <f>1/(1+(10^-((AC85-AA85)/400)))*(AA36+AC36)</f>
        <v>#N/A</v>
      </c>
      <c r="AD86" s="172" t="e">
        <f>1/(1+(10^-((AD85-AF85)/400)))*(AD36+AF36)</f>
        <v>#N/A</v>
      </c>
      <c r="AE86" s="172"/>
      <c r="AF86" s="172" t="e">
        <f>1/(1+(10^-((AF85-AD85)/400)))*(AD36+AF36)</f>
        <v>#N/A</v>
      </c>
      <c r="AG86" s="173"/>
      <c r="AH86" s="174"/>
      <c r="AI86" s="174"/>
      <c r="AJ86" s="174"/>
      <c r="AK86" s="174"/>
      <c r="AL86" s="174"/>
      <c r="AM86" s="174"/>
      <c r="AN86" s="174"/>
      <c r="AO86" s="175"/>
      <c r="AP86" s="175"/>
      <c r="AQ86" s="175"/>
      <c r="AR86" s="175"/>
      <c r="AW86" s="177"/>
      <c r="BB86" s="177"/>
      <c r="BE86" s="177"/>
      <c r="BH86" s="177"/>
      <c r="BK86" s="177"/>
      <c r="BN86" s="177"/>
      <c r="BQ86" s="177"/>
      <c r="BT86" s="177"/>
      <c r="BW86" s="177"/>
      <c r="BZ86" s="177"/>
      <c r="CC86" s="177"/>
    </row>
    <row r="87" spans="1:81" s="182" customFormat="1" hidden="1">
      <c r="A87" s="178" t="s">
        <v>227</v>
      </c>
      <c r="B87" s="178">
        <f>B85+(B36-B86)*$BA$1</f>
        <v>1422.3102212702738</v>
      </c>
      <c r="C87" s="178"/>
      <c r="D87" s="178">
        <f>D85+(D36-D86)*$BA$1</f>
        <v>1432.7506505670633</v>
      </c>
      <c r="E87" s="178">
        <f>E85+(E36-E86)*$BA$1</f>
        <v>1429.5778072648786</v>
      </c>
      <c r="F87" s="178"/>
      <c r="G87" s="178">
        <f>G85+(G36-G86)*$BA$1</f>
        <v>1185.9798390795384</v>
      </c>
      <c r="H87" s="178">
        <f>H85+(H36-H86)*$BA$1</f>
        <v>1428.8436902701242</v>
      </c>
      <c r="I87" s="178"/>
      <c r="J87" s="178">
        <f>J85+(J36-J86)*$BA$1</f>
        <v>1179.446370079688</v>
      </c>
      <c r="K87" s="178"/>
      <c r="L87" s="178">
        <f>L85+(L36-L86)*$BA$1</f>
        <v>1445.7239180369847</v>
      </c>
      <c r="M87" s="178"/>
      <c r="N87" s="178">
        <f>N85+(N36-N86)*$BA$1</f>
        <v>1416.6045397949572</v>
      </c>
      <c r="O87" s="178">
        <f>O85+(O36-O86)*$BA$1</f>
        <v>1423.113267317799</v>
      </c>
      <c r="P87" s="178"/>
      <c r="Q87" s="178">
        <f>Q85+(Q36-Q86)*$BA$1</f>
        <v>1172.9376425568462</v>
      </c>
      <c r="R87" s="178">
        <f>R85+(R36-R86)*$BA$1</f>
        <v>1428.9471659044832</v>
      </c>
      <c r="S87" s="178"/>
      <c r="T87" s="178">
        <f>T85+(T36-T86)*$BA$1</f>
        <v>1445.6204424026257</v>
      </c>
      <c r="U87" s="178" t="e">
        <f>U85+(U36-U86)*$BA$1</f>
        <v>#N/A</v>
      </c>
      <c r="V87" s="178"/>
      <c r="W87" s="178" t="e">
        <f>W85+(W36-W86)*$BA$1</f>
        <v>#N/A</v>
      </c>
      <c r="X87" s="178" t="e">
        <f>X85+(X36-X86)*$BA$1</f>
        <v>#N/A</v>
      </c>
      <c r="Y87" s="178"/>
      <c r="Z87" s="178" t="e">
        <f>Z85+(Z36-Z86)*$BA$1</f>
        <v>#N/A</v>
      </c>
      <c r="AA87" s="178" t="e">
        <f>AA85+(AA36-AA86)*$BA$1</f>
        <v>#N/A</v>
      </c>
      <c r="AB87" s="178"/>
      <c r="AC87" s="178" t="e">
        <f>AC85+(AC36-AC86)*$BA$1</f>
        <v>#N/A</v>
      </c>
      <c r="AD87" s="178" t="e">
        <f>AD85+(AD36-AD86)*$BA$1</f>
        <v>#N/A</v>
      </c>
      <c r="AE87" s="178"/>
      <c r="AF87" s="178" t="e">
        <f>AF85+(AF36-AF86)*$BA$1</f>
        <v>#N/A</v>
      </c>
      <c r="AG87" s="179"/>
      <c r="AH87" s="180"/>
      <c r="AI87" s="180"/>
      <c r="AJ87" s="180"/>
      <c r="AK87" s="180"/>
      <c r="AL87" s="180"/>
      <c r="AM87" s="180"/>
      <c r="AN87" s="180"/>
      <c r="AO87" s="181"/>
      <c r="AP87" s="181"/>
      <c r="AQ87" s="181"/>
      <c r="AR87" s="181"/>
      <c r="AW87" s="183"/>
      <c r="BB87" s="183"/>
      <c r="BE87" s="183"/>
      <c r="BH87" s="183"/>
      <c r="BK87" s="183"/>
      <c r="BN87" s="183"/>
      <c r="BQ87" s="183"/>
      <c r="BT87" s="183"/>
      <c r="BW87" s="183"/>
      <c r="BZ87" s="183"/>
      <c r="CC87" s="183"/>
    </row>
    <row r="88" spans="1:81" s="182" customFormat="1" hidden="1">
      <c r="A88" s="178"/>
      <c r="B88" s="178"/>
      <c r="C88" s="178"/>
      <c r="D88" s="178"/>
      <c r="E88" s="178"/>
      <c r="F88" s="178"/>
      <c r="G88" s="178"/>
      <c r="H88" s="178"/>
      <c r="I88" s="178"/>
      <c r="J88" s="178"/>
      <c r="K88" s="178"/>
      <c r="L88" s="178"/>
      <c r="M88" s="178"/>
      <c r="N88" s="178"/>
      <c r="O88" s="178"/>
      <c r="P88" s="178"/>
      <c r="Q88" s="178"/>
      <c r="R88" s="178"/>
      <c r="S88" s="178"/>
      <c r="T88" s="178"/>
      <c r="U88" s="178"/>
      <c r="V88" s="178"/>
      <c r="W88" s="178"/>
      <c r="X88" s="178"/>
      <c r="Y88" s="178"/>
      <c r="Z88" s="178"/>
      <c r="AA88" s="178"/>
      <c r="AB88" s="178"/>
      <c r="AC88" s="178"/>
      <c r="AD88" s="178"/>
      <c r="AE88" s="178"/>
      <c r="AF88" s="178"/>
      <c r="AG88" s="179"/>
      <c r="AH88" s="180"/>
      <c r="AI88" s="180"/>
      <c r="AJ88" s="180"/>
      <c r="AK88" s="180"/>
      <c r="AL88" s="180"/>
      <c r="AM88" s="180"/>
      <c r="AN88" s="180"/>
      <c r="AO88" s="181"/>
      <c r="AP88" s="181"/>
      <c r="AQ88" s="181"/>
      <c r="AR88" s="181"/>
      <c r="AW88" s="183"/>
      <c r="BB88" s="183"/>
      <c r="BE88" s="183"/>
      <c r="BH88" s="183"/>
      <c r="BK88" s="183"/>
      <c r="BN88" s="183"/>
      <c r="BQ88" s="183"/>
      <c r="BT88" s="183"/>
      <c r="BW88" s="183"/>
      <c r="BZ88" s="183"/>
      <c r="CC88" s="183"/>
    </row>
    <row r="89" spans="1:81" s="117" customFormat="1">
      <c r="A89" s="393" t="str">
        <f>IF($AL10=1,"Pool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Tiereaker : 1) Matches Won vs Lost (if 3 way tie then #4)  2) Head to Head  3) Game Win %  4) Total Pool Net Points  5) Flip a Coin</v>
      </c>
      <c r="B89" s="393"/>
      <c r="C89" s="393"/>
      <c r="D89" s="393"/>
      <c r="E89" s="393"/>
      <c r="F89" s="393"/>
      <c r="G89" s="393"/>
      <c r="H89" s="393"/>
      <c r="I89" s="393"/>
      <c r="J89" s="393"/>
      <c r="K89" s="393"/>
      <c r="L89" s="393"/>
      <c r="M89" s="393"/>
      <c r="N89" s="393"/>
      <c r="O89" s="393"/>
      <c r="P89" s="393"/>
      <c r="Q89" s="393"/>
      <c r="R89" s="393"/>
      <c r="S89" s="393"/>
      <c r="T89" s="393"/>
      <c r="U89" s="393"/>
      <c r="V89" s="393"/>
      <c r="W89" s="393"/>
      <c r="X89" s="393"/>
      <c r="Y89" s="393"/>
      <c r="Z89" s="393"/>
      <c r="AA89" s="393"/>
      <c r="AB89" s="393"/>
      <c r="AC89" s="393"/>
      <c r="AD89" s="393"/>
      <c r="AE89" s="393"/>
      <c r="AF89" s="393"/>
      <c r="AG89" s="393"/>
      <c r="AH89" s="393"/>
      <c r="AI89" s="393"/>
      <c r="AJ89" s="393"/>
      <c r="AK89" s="393"/>
      <c r="AL89" s="393"/>
      <c r="AM89" s="393"/>
      <c r="AN89" s="394"/>
      <c r="AO89" s="394"/>
      <c r="AP89" s="394"/>
      <c r="AQ89" s="394"/>
      <c r="AW89" s="170"/>
    </row>
    <row r="90" spans="1:81" s="117" customFormat="1" ht="13.5" thickBot="1">
      <c r="A90" s="395"/>
      <c r="B90" s="395"/>
      <c r="C90" s="395"/>
      <c r="D90" s="395"/>
      <c r="E90" s="395"/>
      <c r="F90" s="395"/>
      <c r="G90" s="395"/>
      <c r="H90" s="395"/>
      <c r="I90" s="395"/>
      <c r="J90" s="395"/>
      <c r="K90" s="395"/>
      <c r="L90" s="395"/>
      <c r="M90" s="395"/>
      <c r="N90" s="395"/>
      <c r="O90" s="395"/>
      <c r="P90" s="395"/>
      <c r="Q90" s="395"/>
      <c r="R90" s="395"/>
      <c r="S90" s="395"/>
      <c r="T90" s="395"/>
      <c r="U90" s="395"/>
      <c r="V90" s="395"/>
      <c r="W90" s="395"/>
      <c r="X90" s="395"/>
      <c r="Y90" s="395"/>
      <c r="Z90" s="395"/>
      <c r="AA90" s="395"/>
      <c r="AB90" s="395"/>
      <c r="AC90" s="395"/>
      <c r="AD90" s="395"/>
      <c r="AE90" s="395"/>
      <c r="AF90" s="395"/>
      <c r="AG90" s="395"/>
      <c r="AH90" s="395"/>
      <c r="AI90" s="395"/>
      <c r="AJ90" s="395"/>
      <c r="AK90" s="395"/>
      <c r="AL90" s="395"/>
      <c r="AM90" s="395"/>
      <c r="AN90" s="395"/>
      <c r="AO90" s="395"/>
      <c r="AP90" s="395"/>
      <c r="AQ90" s="395"/>
      <c r="AR90" s="395"/>
      <c r="AW90" s="170"/>
    </row>
    <row r="91" spans="1:81" ht="24" customHeight="1" thickBot="1">
      <c r="A91" s="96" t="s">
        <v>16</v>
      </c>
      <c r="B91" s="150" t="s">
        <v>294</v>
      </c>
      <c r="C91" s="274" t="s">
        <v>188</v>
      </c>
      <c r="D91" s="275"/>
      <c r="E91" s="275"/>
      <c r="F91" s="275"/>
      <c r="G91" s="275"/>
      <c r="H91" s="276"/>
      <c r="I91" s="277">
        <v>2</v>
      </c>
      <c r="J91" s="278"/>
      <c r="K91" s="279" t="str">
        <f>"Pool "&amp;B91&amp;" - Round 1 - Court "&amp;I91</f>
        <v>Pool B - Round 1 - Court 2</v>
      </c>
      <c r="L91" s="280"/>
      <c r="M91" s="280"/>
      <c r="N91" s="280"/>
      <c r="O91" s="280"/>
      <c r="P91" s="280"/>
      <c r="Q91" s="280"/>
      <c r="R91" s="280"/>
      <c r="S91" s="280"/>
      <c r="T91" s="280"/>
      <c r="U91" s="280"/>
      <c r="V91" s="280"/>
      <c r="W91" s="280"/>
      <c r="X91" s="280"/>
      <c r="Y91" s="280"/>
      <c r="Z91" s="280"/>
      <c r="AA91" s="280"/>
      <c r="AB91" s="280"/>
      <c r="AC91" s="280"/>
      <c r="AD91" s="280"/>
      <c r="AE91" s="280"/>
      <c r="AF91" s="280"/>
      <c r="AG91" s="280"/>
      <c r="AH91" s="280"/>
      <c r="AI91" s="280"/>
      <c r="AJ91" s="281"/>
      <c r="AK91" s="534"/>
      <c r="AL91" s="534"/>
      <c r="AM91" s="534"/>
      <c r="AN91" s="534"/>
      <c r="AO91" s="534"/>
      <c r="AP91" s="534"/>
      <c r="AQ91" s="534"/>
      <c r="AR91" s="534"/>
    </row>
    <row r="92" spans="1:81" ht="27" customHeight="1" thickBot="1">
      <c r="A92" s="97" t="s">
        <v>17</v>
      </c>
      <c r="B92" s="282" t="s">
        <v>5</v>
      </c>
      <c r="C92" s="295"/>
      <c r="D92" s="295"/>
      <c r="E92" s="295"/>
      <c r="F92" s="295"/>
      <c r="G92" s="295"/>
      <c r="H92" s="295"/>
      <c r="I92" s="295"/>
      <c r="J92" s="295"/>
      <c r="K92" s="295"/>
      <c r="L92" s="295"/>
      <c r="M92" s="282" t="str">
        <f>IF($AL95=0,"Games Won","Matches Won")</f>
        <v>Matches Won</v>
      </c>
      <c r="N92" s="295"/>
      <c r="O92" s="295"/>
      <c r="P92" s="295"/>
      <c r="Q92" s="295"/>
      <c r="R92" s="297"/>
      <c r="S92" s="282" t="str">
        <f>IF($AL95=0,"Games Lost","Matches Lost")</f>
        <v>Matches Lost</v>
      </c>
      <c r="T92" s="299"/>
      <c r="U92" s="299"/>
      <c r="V92" s="299"/>
      <c r="W92" s="300"/>
      <c r="X92" s="301" t="s">
        <v>18</v>
      </c>
      <c r="Y92" s="302"/>
      <c r="Z92" s="303"/>
      <c r="AA92" s="301" t="s">
        <v>189</v>
      </c>
      <c r="AB92" s="302"/>
      <c r="AC92" s="303"/>
      <c r="AD92" s="312" t="s">
        <v>19</v>
      </c>
      <c r="AE92" s="313"/>
      <c r="AF92" s="314"/>
      <c r="AG92" s="98" t="s">
        <v>20</v>
      </c>
      <c r="AH92" s="151" t="s">
        <v>4</v>
      </c>
      <c r="AI92" s="315" t="s">
        <v>21</v>
      </c>
      <c r="AJ92" s="316"/>
      <c r="AK92" s="99"/>
      <c r="AL92" s="100">
        <v>2</v>
      </c>
      <c r="AM92" s="101" t="s">
        <v>22</v>
      </c>
      <c r="AN92" s="101"/>
      <c r="AO92" s="101"/>
      <c r="AP92" s="101"/>
      <c r="AQ92" s="101"/>
      <c r="AR92" s="101"/>
    </row>
    <row r="93" spans="1:81" ht="18.75" customHeight="1">
      <c r="A93" s="562" t="str">
        <f>IF($AL94&gt;0,"1","")</f>
        <v>1</v>
      </c>
      <c r="B93" s="319" t="s">
        <v>5</v>
      </c>
      <c r="C93" s="320"/>
      <c r="D93" s="321"/>
      <c r="E93" s="322" t="str">
        <f>AU4</f>
        <v>Foothills Vanessa</v>
      </c>
      <c r="F93" s="323"/>
      <c r="G93" s="323"/>
      <c r="H93" s="323"/>
      <c r="I93" s="323"/>
      <c r="J93" s="323"/>
      <c r="K93" s="323"/>
      <c r="L93" s="324"/>
      <c r="M93" s="304">
        <f>IF($AL95=0,AG149,AG131)</f>
        <v>0</v>
      </c>
      <c r="N93" s="305"/>
      <c r="O93" s="305"/>
      <c r="P93" s="305"/>
      <c r="Q93" s="305"/>
      <c r="R93" s="297"/>
      <c r="S93" s="304">
        <f>IF($AL95=0,AH149,AH131)</f>
        <v>3</v>
      </c>
      <c r="T93" s="305"/>
      <c r="U93" s="305"/>
      <c r="V93" s="305"/>
      <c r="W93" s="305"/>
      <c r="X93" s="304">
        <f>AR109</f>
        <v>-51</v>
      </c>
      <c r="Y93" s="305"/>
      <c r="Z93" s="305"/>
      <c r="AA93" s="563">
        <f>IF(AG143&gt;0,(AR109/AG143),0)</f>
        <v>-0.34228187919463088</v>
      </c>
      <c r="AB93" s="564"/>
      <c r="AC93" s="564"/>
      <c r="AD93" s="565">
        <f>IF(AG157=0,0,(AG149/AG157))</f>
        <v>0</v>
      </c>
      <c r="AE93" s="566"/>
      <c r="AF93" s="567"/>
      <c r="AG93" s="331"/>
      <c r="AH93" s="331"/>
      <c r="AI93" s="333"/>
      <c r="AJ93" s="334"/>
      <c r="AK93" s="99"/>
      <c r="AL93" s="100">
        <v>6</v>
      </c>
      <c r="AM93" s="101" t="s">
        <v>23</v>
      </c>
      <c r="AN93" s="101"/>
      <c r="AO93" s="101"/>
      <c r="AP93" s="101"/>
      <c r="AQ93" s="101"/>
      <c r="AR93" s="101"/>
    </row>
    <row r="94" spans="1:81" ht="18.75" customHeight="1" thickBot="1">
      <c r="A94" s="568"/>
      <c r="B94" s="337" t="s">
        <v>6</v>
      </c>
      <c r="C94" s="338"/>
      <c r="D94" s="339"/>
      <c r="E94" s="340" t="str">
        <f>AV4</f>
        <v>fj2footh2pm</v>
      </c>
      <c r="F94" s="341"/>
      <c r="G94" s="341"/>
      <c r="H94" s="341"/>
      <c r="I94" s="341"/>
      <c r="J94" s="341"/>
      <c r="K94" s="341"/>
      <c r="L94" s="341"/>
      <c r="M94" s="306"/>
      <c r="N94" s="307"/>
      <c r="O94" s="307"/>
      <c r="P94" s="307"/>
      <c r="Q94" s="307"/>
      <c r="R94" s="297"/>
      <c r="S94" s="306"/>
      <c r="T94" s="307"/>
      <c r="U94" s="307"/>
      <c r="V94" s="307"/>
      <c r="W94" s="307"/>
      <c r="X94" s="306"/>
      <c r="Y94" s="307"/>
      <c r="Z94" s="307"/>
      <c r="AA94" s="569"/>
      <c r="AB94" s="570"/>
      <c r="AC94" s="570"/>
      <c r="AD94" s="571"/>
      <c r="AE94" s="572"/>
      <c r="AF94" s="573"/>
      <c r="AG94" s="332"/>
      <c r="AH94" s="332"/>
      <c r="AI94" s="335"/>
      <c r="AJ94" s="336"/>
      <c r="AK94" s="99"/>
      <c r="AL94" s="100">
        <v>4</v>
      </c>
      <c r="AM94" s="101" t="s">
        <v>190</v>
      </c>
      <c r="AN94" s="99"/>
      <c r="AO94" s="99"/>
      <c r="AP94" s="99"/>
      <c r="AQ94" s="99"/>
      <c r="AR94" s="99"/>
    </row>
    <row r="95" spans="1:81" ht="18.75" customHeight="1">
      <c r="A95" s="562" t="str">
        <f>IF($AL94&gt;1,"2","")</f>
        <v>2</v>
      </c>
      <c r="B95" s="319" t="s">
        <v>5</v>
      </c>
      <c r="C95" s="320"/>
      <c r="D95" s="321"/>
      <c r="E95" s="322" t="str">
        <f>AU7</f>
        <v>SC Midlands KP Garnet</v>
      </c>
      <c r="F95" s="323"/>
      <c r="G95" s="323"/>
      <c r="H95" s="323"/>
      <c r="I95" s="323"/>
      <c r="J95" s="323"/>
      <c r="K95" s="323"/>
      <c r="L95" s="324"/>
      <c r="M95" s="304">
        <f>IF($AL95=0,AG150,AG132)</f>
        <v>3</v>
      </c>
      <c r="N95" s="305"/>
      <c r="O95" s="305"/>
      <c r="P95" s="305"/>
      <c r="Q95" s="305"/>
      <c r="R95" s="297"/>
      <c r="S95" s="304">
        <f>IF($AL95=0,AH150,AH132)</f>
        <v>0</v>
      </c>
      <c r="T95" s="305"/>
      <c r="U95" s="305"/>
      <c r="V95" s="305"/>
      <c r="W95" s="305"/>
      <c r="X95" s="304">
        <f>AR110</f>
        <v>30</v>
      </c>
      <c r="Y95" s="305"/>
      <c r="Z95" s="305"/>
      <c r="AA95" s="563">
        <f>IF(AG144&gt;0,(AR110/AG144),0)</f>
        <v>0.22900763358778625</v>
      </c>
      <c r="AB95" s="564"/>
      <c r="AC95" s="564"/>
      <c r="AD95" s="565">
        <f>IF(AG158=0,0,(AG150/AG158))</f>
        <v>1</v>
      </c>
      <c r="AE95" s="566"/>
      <c r="AF95" s="567"/>
      <c r="AG95" s="331"/>
      <c r="AH95" s="331"/>
      <c r="AI95" s="333"/>
      <c r="AJ95" s="334"/>
      <c r="AK95" s="99"/>
      <c r="AL95" s="100">
        <v>1</v>
      </c>
      <c r="AM95" s="101" t="s">
        <v>24</v>
      </c>
      <c r="AN95" s="101"/>
      <c r="AO95" s="101"/>
      <c r="AP95" s="101"/>
      <c r="AQ95" s="101"/>
      <c r="AR95" s="101"/>
    </row>
    <row r="96" spans="1:81" ht="18.75" customHeight="1" thickBot="1">
      <c r="A96" s="568"/>
      <c r="B96" s="342" t="s">
        <v>6</v>
      </c>
      <c r="C96" s="343"/>
      <c r="D96" s="343"/>
      <c r="E96" s="340" t="str">
        <f>AV7</f>
        <v>fj1scmid2pm</v>
      </c>
      <c r="F96" s="341"/>
      <c r="G96" s="341"/>
      <c r="H96" s="341"/>
      <c r="I96" s="341"/>
      <c r="J96" s="341"/>
      <c r="K96" s="341"/>
      <c r="L96" s="341"/>
      <c r="M96" s="306"/>
      <c r="N96" s="307"/>
      <c r="O96" s="307"/>
      <c r="P96" s="307"/>
      <c r="Q96" s="307"/>
      <c r="R96" s="297"/>
      <c r="S96" s="306"/>
      <c r="T96" s="307"/>
      <c r="U96" s="307"/>
      <c r="V96" s="307"/>
      <c r="W96" s="307"/>
      <c r="X96" s="306"/>
      <c r="Y96" s="307"/>
      <c r="Z96" s="307"/>
      <c r="AA96" s="569"/>
      <c r="AB96" s="570"/>
      <c r="AC96" s="570"/>
      <c r="AD96" s="571"/>
      <c r="AE96" s="572"/>
      <c r="AF96" s="573"/>
      <c r="AG96" s="332"/>
      <c r="AH96" s="332"/>
      <c r="AI96" s="335"/>
      <c r="AJ96" s="336"/>
      <c r="AK96" s="99"/>
      <c r="AL96" s="100">
        <v>1</v>
      </c>
      <c r="AM96" s="101" t="s">
        <v>25</v>
      </c>
      <c r="AN96" s="99"/>
      <c r="AO96" s="99"/>
      <c r="AP96" s="99"/>
      <c r="AQ96" s="99"/>
      <c r="AR96" s="99"/>
    </row>
    <row r="97" spans="1:44" ht="18.75" customHeight="1">
      <c r="A97" s="562" t="str">
        <f>IF($AL94&gt;2,"3","")</f>
        <v>3</v>
      </c>
      <c r="B97" s="344" t="s">
        <v>5</v>
      </c>
      <c r="C97" s="345"/>
      <c r="D97" s="345"/>
      <c r="E97" s="322" t="str">
        <f>AU10</f>
        <v>Intense kids power col</v>
      </c>
      <c r="F97" s="323"/>
      <c r="G97" s="323"/>
      <c r="H97" s="323"/>
      <c r="I97" s="323"/>
      <c r="J97" s="323"/>
      <c r="K97" s="323"/>
      <c r="L97" s="324"/>
      <c r="M97" s="304">
        <f>IF($AL95=0,AG151,AG133)</f>
        <v>1</v>
      </c>
      <c r="N97" s="305"/>
      <c r="O97" s="305"/>
      <c r="P97" s="305"/>
      <c r="Q97" s="305"/>
      <c r="R97" s="297"/>
      <c r="S97" s="304">
        <f>IF($AL95=0,AH151,AH133)</f>
        <v>1</v>
      </c>
      <c r="T97" s="305"/>
      <c r="U97" s="305"/>
      <c r="V97" s="305"/>
      <c r="W97" s="305"/>
      <c r="X97" s="304">
        <f>AR111</f>
        <v>16</v>
      </c>
      <c r="Y97" s="305"/>
      <c r="Z97" s="305"/>
      <c r="AA97" s="563">
        <f>IF(AG145&gt;0,(AR111/AG145),0)</f>
        <v>0.12030075187969924</v>
      </c>
      <c r="AB97" s="564"/>
      <c r="AC97" s="564"/>
      <c r="AD97" s="565">
        <f>IF(AG159=0,0,(AG151/AG159))</f>
        <v>0.5</v>
      </c>
      <c r="AE97" s="566"/>
      <c r="AF97" s="567"/>
      <c r="AG97" s="331"/>
      <c r="AH97" s="331"/>
      <c r="AI97" s="333"/>
      <c r="AJ97" s="334"/>
      <c r="AK97" s="103"/>
      <c r="AL97" s="100">
        <v>3</v>
      </c>
      <c r="AM97" s="152" t="s">
        <v>191</v>
      </c>
      <c r="AN97" s="101"/>
      <c r="AO97" s="101"/>
      <c r="AP97" s="101"/>
      <c r="AQ97" s="101"/>
      <c r="AR97" s="101"/>
    </row>
    <row r="98" spans="1:44" ht="18.75" customHeight="1" thickBot="1">
      <c r="A98" s="568"/>
      <c r="B98" s="342" t="s">
        <v>6</v>
      </c>
      <c r="C98" s="343"/>
      <c r="D98" s="343"/>
      <c r="E98" s="340" t="str">
        <f>AV10</f>
        <v>fj2inten3pm</v>
      </c>
      <c r="F98" s="341"/>
      <c r="G98" s="341"/>
      <c r="H98" s="341"/>
      <c r="I98" s="341"/>
      <c r="J98" s="341"/>
      <c r="K98" s="341"/>
      <c r="L98" s="341"/>
      <c r="M98" s="306"/>
      <c r="N98" s="307"/>
      <c r="O98" s="307"/>
      <c r="P98" s="307"/>
      <c r="Q98" s="307"/>
      <c r="R98" s="297"/>
      <c r="S98" s="306"/>
      <c r="T98" s="307"/>
      <c r="U98" s="307"/>
      <c r="V98" s="307"/>
      <c r="W98" s="307"/>
      <c r="X98" s="306"/>
      <c r="Y98" s="307"/>
      <c r="Z98" s="307"/>
      <c r="AA98" s="569"/>
      <c r="AB98" s="570"/>
      <c r="AC98" s="570"/>
      <c r="AD98" s="571"/>
      <c r="AE98" s="572"/>
      <c r="AF98" s="573"/>
      <c r="AG98" s="332"/>
      <c r="AH98" s="332"/>
      <c r="AI98" s="335"/>
      <c r="AJ98" s="336"/>
      <c r="AK98" s="103"/>
      <c r="AL98" s="153"/>
      <c r="AM98" s="154"/>
      <c r="AN98" s="154"/>
      <c r="AO98" s="154"/>
      <c r="AP98" s="154"/>
      <c r="AQ98" s="154"/>
      <c r="AR98" s="99"/>
    </row>
    <row r="99" spans="1:44" ht="18.75" customHeight="1">
      <c r="A99" s="562" t="str">
        <f>IF($AL94&gt;3,"4","")</f>
        <v>4</v>
      </c>
      <c r="B99" s="344" t="s">
        <v>5</v>
      </c>
      <c r="C99" s="345"/>
      <c r="D99" s="345"/>
      <c r="E99" s="322" t="str">
        <f>AU12</f>
        <v>Magnum 11 Black</v>
      </c>
      <c r="F99" s="323"/>
      <c r="G99" s="323"/>
      <c r="H99" s="323"/>
      <c r="I99" s="323"/>
      <c r="J99" s="323"/>
      <c r="K99" s="323"/>
      <c r="L99" s="324"/>
      <c r="M99" s="304">
        <f>IF($AL95=0,AG152,AG134)</f>
        <v>1</v>
      </c>
      <c r="N99" s="305"/>
      <c r="O99" s="305"/>
      <c r="P99" s="305"/>
      <c r="Q99" s="305"/>
      <c r="R99" s="297"/>
      <c r="S99" s="304">
        <f>IF($AL95=0,AH152,AH134)</f>
        <v>1</v>
      </c>
      <c r="T99" s="305"/>
      <c r="U99" s="305"/>
      <c r="V99" s="305"/>
      <c r="W99" s="305"/>
      <c r="X99" s="304">
        <f>AR112</f>
        <v>5</v>
      </c>
      <c r="Y99" s="305"/>
      <c r="Z99" s="305"/>
      <c r="AA99" s="563">
        <f>IF(AG146&gt;0,(AR112/AG146),0)</f>
        <v>3.875968992248062E-2</v>
      </c>
      <c r="AB99" s="564"/>
      <c r="AC99" s="564"/>
      <c r="AD99" s="565">
        <f>IF(AG160=0,0,(AG152/AG160))</f>
        <v>0.5</v>
      </c>
      <c r="AE99" s="566"/>
      <c r="AF99" s="567"/>
      <c r="AG99" s="331"/>
      <c r="AH99" s="331"/>
      <c r="AI99" s="333"/>
      <c r="AJ99" s="334"/>
      <c r="AK99" s="534"/>
      <c r="AL99" s="154"/>
      <c r="AM99" s="154"/>
      <c r="AN99" s="154"/>
      <c r="AO99" s="154"/>
      <c r="AP99" s="154"/>
      <c r="AQ99" s="154"/>
      <c r="AR99" s="101"/>
    </row>
    <row r="100" spans="1:44" ht="18.75" customHeight="1" thickBot="1">
      <c r="A100" s="568"/>
      <c r="B100" s="342" t="s">
        <v>6</v>
      </c>
      <c r="C100" s="343"/>
      <c r="D100" s="343"/>
      <c r="E100" s="340" t="str">
        <f>AV12</f>
        <v>fj1magnm1pm</v>
      </c>
      <c r="F100" s="341"/>
      <c r="G100" s="341"/>
      <c r="H100" s="341"/>
      <c r="I100" s="341"/>
      <c r="J100" s="341"/>
      <c r="K100" s="341"/>
      <c r="L100" s="341"/>
      <c r="M100" s="306"/>
      <c r="N100" s="307"/>
      <c r="O100" s="307"/>
      <c r="P100" s="307"/>
      <c r="Q100" s="307"/>
      <c r="R100" s="297"/>
      <c r="S100" s="306"/>
      <c r="T100" s="307"/>
      <c r="U100" s="307"/>
      <c r="V100" s="307"/>
      <c r="W100" s="307"/>
      <c r="X100" s="306"/>
      <c r="Y100" s="307"/>
      <c r="Z100" s="307"/>
      <c r="AA100" s="569"/>
      <c r="AB100" s="570"/>
      <c r="AC100" s="570"/>
      <c r="AD100" s="571"/>
      <c r="AE100" s="572"/>
      <c r="AF100" s="573"/>
      <c r="AG100" s="332"/>
      <c r="AH100" s="332"/>
      <c r="AI100" s="335"/>
      <c r="AJ100" s="336"/>
      <c r="AK100" s="534"/>
      <c r="AL100" s="154"/>
      <c r="AM100" s="154"/>
      <c r="AN100" s="154"/>
      <c r="AO100" s="154"/>
      <c r="AP100" s="154"/>
      <c r="AQ100" s="154"/>
      <c r="AR100" s="534"/>
    </row>
    <row r="101" spans="1:44" ht="18.75" customHeight="1">
      <c r="A101" s="562" t="str">
        <f>IF($AL94&gt;4,"5","")</f>
        <v/>
      </c>
      <c r="B101" s="344" t="s">
        <v>5</v>
      </c>
      <c r="C101" s="345"/>
      <c r="D101" s="345"/>
      <c r="E101" s="346">
        <f>AU16</f>
        <v>0</v>
      </c>
      <c r="F101" s="347"/>
      <c r="G101" s="347"/>
      <c r="H101" s="347"/>
      <c r="I101" s="347"/>
      <c r="J101" s="347"/>
      <c r="K101" s="347"/>
      <c r="L101" s="348"/>
      <c r="M101" s="304">
        <f>IF($AL95=0,AG153,AG135)</f>
        <v>0</v>
      </c>
      <c r="N101" s="305"/>
      <c r="O101" s="305"/>
      <c r="P101" s="305"/>
      <c r="Q101" s="305"/>
      <c r="R101" s="297"/>
      <c r="S101" s="304">
        <f>IF($AL95=0,AH153,AH135)</f>
        <v>0</v>
      </c>
      <c r="T101" s="305"/>
      <c r="U101" s="305"/>
      <c r="V101" s="305"/>
      <c r="W101" s="305"/>
      <c r="X101" s="304">
        <f>AR113</f>
        <v>0</v>
      </c>
      <c r="Y101" s="305"/>
      <c r="Z101" s="305"/>
      <c r="AA101" s="563">
        <f>IF(AG147&gt;0,(AR113/AG147),0)</f>
        <v>0</v>
      </c>
      <c r="AB101" s="564"/>
      <c r="AC101" s="564"/>
      <c r="AD101" s="565">
        <f>IF(AG161=0,0,(AG153/AG161))</f>
        <v>0</v>
      </c>
      <c r="AE101" s="566"/>
      <c r="AF101" s="567"/>
      <c r="AG101" s="331"/>
      <c r="AH101" s="331"/>
      <c r="AI101" s="333"/>
      <c r="AJ101" s="334"/>
      <c r="AK101" s="534"/>
      <c r="AL101" s="154"/>
      <c r="AM101" s="154"/>
      <c r="AN101" s="154"/>
      <c r="AO101" s="154"/>
      <c r="AP101" s="154"/>
      <c r="AQ101" s="154"/>
      <c r="AR101" s="534"/>
    </row>
    <row r="102" spans="1:44" ht="18.75" customHeight="1" thickBot="1">
      <c r="A102" s="568"/>
      <c r="B102" s="359" t="s">
        <v>6</v>
      </c>
      <c r="C102" s="360"/>
      <c r="D102" s="360"/>
      <c r="E102" s="361">
        <f>AV16</f>
        <v>0</v>
      </c>
      <c r="F102" s="362"/>
      <c r="G102" s="362"/>
      <c r="H102" s="362"/>
      <c r="I102" s="362"/>
      <c r="J102" s="362"/>
      <c r="K102" s="362"/>
      <c r="L102" s="362"/>
      <c r="M102" s="349"/>
      <c r="N102" s="350"/>
      <c r="O102" s="350"/>
      <c r="P102" s="350"/>
      <c r="Q102" s="350"/>
      <c r="R102" s="297"/>
      <c r="S102" s="306"/>
      <c r="T102" s="307"/>
      <c r="U102" s="307"/>
      <c r="V102" s="307"/>
      <c r="W102" s="307"/>
      <c r="X102" s="306"/>
      <c r="Y102" s="307"/>
      <c r="Z102" s="307"/>
      <c r="AA102" s="569"/>
      <c r="AB102" s="570"/>
      <c r="AC102" s="570"/>
      <c r="AD102" s="571"/>
      <c r="AE102" s="572"/>
      <c r="AF102" s="573"/>
      <c r="AG102" s="332"/>
      <c r="AH102" s="356"/>
      <c r="AI102" s="335"/>
      <c r="AJ102" s="336"/>
      <c r="AK102" s="534"/>
      <c r="AL102" s="154"/>
      <c r="AM102" s="154"/>
      <c r="AN102" s="154"/>
      <c r="AO102" s="154"/>
      <c r="AP102" s="154"/>
      <c r="AQ102" s="154"/>
      <c r="AR102" s="534"/>
    </row>
    <row r="103" spans="1:44" ht="21" customHeight="1" thickTop="1" thickBot="1">
      <c r="A103" s="106"/>
      <c r="B103" s="363" t="s">
        <v>1251</v>
      </c>
      <c r="C103" s="364"/>
      <c r="D103" s="364"/>
      <c r="E103" s="364"/>
      <c r="F103" s="364"/>
      <c r="G103" s="364"/>
      <c r="H103" s="364"/>
      <c r="I103" s="364"/>
      <c r="J103" s="364"/>
      <c r="K103" s="364"/>
      <c r="L103" s="364"/>
      <c r="M103" s="364"/>
      <c r="N103" s="364"/>
      <c r="O103" s="364"/>
      <c r="P103" s="364"/>
      <c r="Q103" s="364"/>
      <c r="R103" s="364"/>
      <c r="S103" s="364"/>
      <c r="T103" s="364"/>
      <c r="U103" s="364"/>
      <c r="V103" s="364"/>
      <c r="W103" s="364"/>
      <c r="X103" s="364"/>
      <c r="Y103" s="364"/>
      <c r="Z103" s="364"/>
      <c r="AA103" s="364"/>
      <c r="AB103" s="364"/>
      <c r="AC103" s="364"/>
      <c r="AD103" s="364"/>
      <c r="AE103" s="364"/>
      <c r="AF103" s="364"/>
      <c r="AG103" s="364"/>
      <c r="AH103" s="364"/>
      <c r="AI103" s="364"/>
      <c r="AJ103" s="365"/>
      <c r="AK103" s="534"/>
      <c r="AL103" s="154"/>
      <c r="AM103" s="154"/>
      <c r="AN103" s="154"/>
      <c r="AO103" s="154"/>
      <c r="AP103" s="154"/>
      <c r="AQ103" s="154"/>
      <c r="AR103" s="534"/>
    </row>
    <row r="104" spans="1:44" ht="13.5" thickTop="1">
      <c r="A104" s="3" t="s">
        <v>27</v>
      </c>
      <c r="B104" s="372">
        <v>0.35416666666666669</v>
      </c>
      <c r="C104" s="373"/>
      <c r="D104" s="374"/>
      <c r="E104" s="372">
        <v>0.39583333333333331</v>
      </c>
      <c r="F104" s="373"/>
      <c r="G104" s="374"/>
      <c r="H104" s="372">
        <v>0.4375</v>
      </c>
      <c r="I104" s="373"/>
      <c r="J104" s="374"/>
      <c r="K104" s="579"/>
      <c r="L104" s="372">
        <v>0.47916666666666669</v>
      </c>
      <c r="M104" s="373"/>
      <c r="N104" s="374"/>
      <c r="O104" s="372">
        <v>0.52083333333333337</v>
      </c>
      <c r="P104" s="373"/>
      <c r="Q104" s="374"/>
      <c r="R104" s="372">
        <v>6.25E-2</v>
      </c>
      <c r="S104" s="373"/>
      <c r="T104" s="374"/>
      <c r="U104" s="372"/>
      <c r="V104" s="373"/>
      <c r="W104" s="374"/>
      <c r="X104" s="372"/>
      <c r="Y104" s="373"/>
      <c r="Z104" s="374"/>
      <c r="AA104" s="372"/>
      <c r="AB104" s="373"/>
      <c r="AC104" s="374"/>
      <c r="AD104" s="372"/>
      <c r="AE104" s="373"/>
      <c r="AF104" s="374"/>
      <c r="AG104" s="375" t="s">
        <v>199</v>
      </c>
      <c r="AH104" s="376"/>
      <c r="AI104" s="376"/>
      <c r="AJ104" s="376"/>
      <c r="AK104" s="377"/>
      <c r="AL104" s="377"/>
      <c r="AM104" s="377"/>
      <c r="AN104" s="377"/>
      <c r="AO104" s="377"/>
      <c r="AP104" s="377"/>
      <c r="AQ104" s="377"/>
      <c r="AR104" s="378"/>
    </row>
    <row r="105" spans="1:44">
      <c r="A105" s="107" t="s">
        <v>28</v>
      </c>
      <c r="B105" s="383"/>
      <c r="C105" s="384"/>
      <c r="D105" s="385"/>
      <c r="E105" s="383"/>
      <c r="F105" s="384"/>
      <c r="G105" s="385"/>
      <c r="H105" s="383"/>
      <c r="I105" s="384"/>
      <c r="J105" s="385"/>
      <c r="K105" s="580"/>
      <c r="L105" s="383"/>
      <c r="M105" s="384"/>
      <c r="N105" s="385"/>
      <c r="O105" s="383"/>
      <c r="P105" s="384"/>
      <c r="Q105" s="385"/>
      <c r="R105" s="383"/>
      <c r="S105" s="384"/>
      <c r="T105" s="385"/>
      <c r="U105" s="383"/>
      <c r="V105" s="384"/>
      <c r="W105" s="385"/>
      <c r="X105" s="383"/>
      <c r="Y105" s="384"/>
      <c r="Z105" s="385"/>
      <c r="AA105" s="383"/>
      <c r="AB105" s="384"/>
      <c r="AC105" s="385"/>
      <c r="AD105" s="383"/>
      <c r="AE105" s="384"/>
      <c r="AF105" s="385"/>
      <c r="AG105" s="375"/>
      <c r="AH105" s="376"/>
      <c r="AI105" s="376"/>
      <c r="AJ105" s="376"/>
      <c r="AK105" s="376"/>
      <c r="AL105" s="376"/>
      <c r="AM105" s="376"/>
      <c r="AN105" s="376"/>
      <c r="AO105" s="376"/>
      <c r="AP105" s="376"/>
      <c r="AQ105" s="376"/>
      <c r="AR105" s="379"/>
    </row>
    <row r="106" spans="1:44">
      <c r="A106" s="107" t="s">
        <v>29</v>
      </c>
      <c r="B106" s="383"/>
      <c r="C106" s="384"/>
      <c r="D106" s="385"/>
      <c r="E106" s="383"/>
      <c r="F106" s="384"/>
      <c r="G106" s="385"/>
      <c r="H106" s="383"/>
      <c r="I106" s="384"/>
      <c r="J106" s="385"/>
      <c r="K106" s="580"/>
      <c r="L106" s="383"/>
      <c r="M106" s="384"/>
      <c r="N106" s="385"/>
      <c r="O106" s="383"/>
      <c r="P106" s="384"/>
      <c r="Q106" s="385"/>
      <c r="R106" s="383"/>
      <c r="S106" s="384"/>
      <c r="T106" s="385"/>
      <c r="U106" s="383"/>
      <c r="V106" s="384"/>
      <c r="W106" s="385"/>
      <c r="X106" s="383"/>
      <c r="Y106" s="384"/>
      <c r="Z106" s="385"/>
      <c r="AA106" s="383"/>
      <c r="AB106" s="384"/>
      <c r="AC106" s="385"/>
      <c r="AD106" s="383"/>
      <c r="AE106" s="384"/>
      <c r="AF106" s="385"/>
      <c r="AG106" s="375"/>
      <c r="AH106" s="376"/>
      <c r="AI106" s="376"/>
      <c r="AJ106" s="376"/>
      <c r="AK106" s="376"/>
      <c r="AL106" s="376"/>
      <c r="AM106" s="376"/>
      <c r="AN106" s="376"/>
      <c r="AO106" s="376"/>
      <c r="AP106" s="376"/>
      <c r="AQ106" s="376"/>
      <c r="AR106" s="379"/>
    </row>
    <row r="107" spans="1:44" ht="13.5" thickBot="1">
      <c r="A107" s="534"/>
      <c r="B107" s="386" t="s">
        <v>30</v>
      </c>
      <c r="C107" s="387"/>
      <c r="D107" s="388"/>
      <c r="E107" s="386" t="str">
        <f>IF(AL93&gt;1,"Match 2","")</f>
        <v>Match 2</v>
      </c>
      <c r="F107" s="387"/>
      <c r="G107" s="388"/>
      <c r="H107" s="386" t="str">
        <f>IF(AL93&gt;2,"Match 3","")</f>
        <v>Match 3</v>
      </c>
      <c r="I107" s="387"/>
      <c r="J107" s="388"/>
      <c r="K107" s="580"/>
      <c r="L107" s="386" t="str">
        <f>IF(AL93&gt;3,"Match 4","")</f>
        <v>Match 4</v>
      </c>
      <c r="M107" s="387"/>
      <c r="N107" s="388"/>
      <c r="O107" s="386" t="str">
        <f>IF(AL93&gt;4,"Match 5","")</f>
        <v>Match 5</v>
      </c>
      <c r="P107" s="387"/>
      <c r="Q107" s="388"/>
      <c r="R107" s="386" t="str">
        <f>IF(AL93&gt;5,"Match 6","")</f>
        <v>Match 6</v>
      </c>
      <c r="S107" s="387"/>
      <c r="T107" s="388"/>
      <c r="U107" s="386" t="str">
        <f>IF(AL93&gt;6,"Match 7","")</f>
        <v/>
      </c>
      <c r="V107" s="387"/>
      <c r="W107" s="388"/>
      <c r="X107" s="386" t="str">
        <f>IF(AL93&gt;7,"Match 8","")</f>
        <v/>
      </c>
      <c r="Y107" s="387"/>
      <c r="Z107" s="388"/>
      <c r="AA107" s="386" t="str">
        <f>IF(AL93&gt;8,"Match 9","")</f>
        <v/>
      </c>
      <c r="AB107" s="387"/>
      <c r="AC107" s="388"/>
      <c r="AD107" s="386" t="str">
        <f>IF(AL93&gt;9,"Match 10","")</f>
        <v/>
      </c>
      <c r="AE107" s="387"/>
      <c r="AF107" s="388"/>
      <c r="AG107" s="380"/>
      <c r="AH107" s="381"/>
      <c r="AI107" s="381"/>
      <c r="AJ107" s="381"/>
      <c r="AK107" s="381"/>
      <c r="AL107" s="381"/>
      <c r="AM107" s="381"/>
      <c r="AN107" s="381"/>
      <c r="AO107" s="381"/>
      <c r="AP107" s="381"/>
      <c r="AQ107" s="381"/>
      <c r="AR107" s="382"/>
    </row>
    <row r="108" spans="1:44" ht="15.75">
      <c r="A108" s="534"/>
      <c r="B108" s="389" t="s">
        <v>31</v>
      </c>
      <c r="C108" s="390"/>
      <c r="D108" s="391"/>
      <c r="E108" s="389" t="s">
        <v>32</v>
      </c>
      <c r="F108" s="390"/>
      <c r="G108" s="391"/>
      <c r="H108" s="389" t="s">
        <v>33</v>
      </c>
      <c r="I108" s="390"/>
      <c r="J108" s="391"/>
      <c r="K108" s="580"/>
      <c r="L108" s="389" t="s">
        <v>293</v>
      </c>
      <c r="M108" s="390"/>
      <c r="N108" s="391"/>
      <c r="O108" s="389" t="s">
        <v>32</v>
      </c>
      <c r="P108" s="390"/>
      <c r="Q108" s="391"/>
      <c r="R108" s="389" t="s">
        <v>33</v>
      </c>
      <c r="S108" s="390"/>
      <c r="T108" s="391"/>
      <c r="U108" s="389"/>
      <c r="V108" s="390"/>
      <c r="W108" s="391"/>
      <c r="X108" s="389"/>
      <c r="Y108" s="390"/>
      <c r="Z108" s="391"/>
      <c r="AA108" s="389"/>
      <c r="AB108" s="390"/>
      <c r="AC108" s="391"/>
      <c r="AD108" s="389"/>
      <c r="AE108" s="390"/>
      <c r="AF108" s="391"/>
      <c r="AG108" s="581" t="s">
        <v>34</v>
      </c>
      <c r="AH108" s="108">
        <v>1</v>
      </c>
      <c r="AI108" s="108">
        <v>2</v>
      </c>
      <c r="AJ108" s="108">
        <v>3</v>
      </c>
      <c r="AK108" s="108">
        <v>4</v>
      </c>
      <c r="AL108" s="108">
        <v>5</v>
      </c>
      <c r="AM108" s="108">
        <v>6</v>
      </c>
      <c r="AN108" s="108">
        <v>7</v>
      </c>
      <c r="AO108" s="108">
        <v>8</v>
      </c>
      <c r="AP108" s="108">
        <v>9</v>
      </c>
      <c r="AQ108" s="108">
        <v>10</v>
      </c>
      <c r="AR108" s="582" t="s">
        <v>200</v>
      </c>
    </row>
    <row r="109" spans="1:44" ht="15.75">
      <c r="A109" s="534"/>
      <c r="B109" s="109">
        <v>2</v>
      </c>
      <c r="C109" s="110" t="s">
        <v>35</v>
      </c>
      <c r="D109" s="111">
        <v>3</v>
      </c>
      <c r="E109" s="109">
        <v>1</v>
      </c>
      <c r="F109" s="110" t="str">
        <f>IF(AL93&gt;1,"v","")</f>
        <v>v</v>
      </c>
      <c r="G109" s="111">
        <v>4</v>
      </c>
      <c r="H109" s="109">
        <v>2</v>
      </c>
      <c r="I109" s="110" t="str">
        <f>IF(AL93&gt;2,"v","")</f>
        <v>v</v>
      </c>
      <c r="J109" s="111">
        <v>4</v>
      </c>
      <c r="K109" s="580"/>
      <c r="L109" s="109">
        <v>1</v>
      </c>
      <c r="M109" s="110" t="str">
        <f>IF(AL93&gt;3,"v","")</f>
        <v>v</v>
      </c>
      <c r="N109" s="111">
        <v>3</v>
      </c>
      <c r="O109" s="109">
        <v>3</v>
      </c>
      <c r="P109" s="110" t="str">
        <f>IF(AL93&gt;4,"v","")</f>
        <v>v</v>
      </c>
      <c r="Q109" s="111">
        <v>4</v>
      </c>
      <c r="R109" s="109">
        <v>1</v>
      </c>
      <c r="S109" s="110" t="str">
        <f>IF(AL93&gt;5,"v","")</f>
        <v>v</v>
      </c>
      <c r="T109" s="111">
        <v>2</v>
      </c>
      <c r="U109" s="109"/>
      <c r="V109" s="110" t="str">
        <f>IF(AL93&gt;6,"v","")</f>
        <v/>
      </c>
      <c r="W109" s="111"/>
      <c r="X109" s="109"/>
      <c r="Y109" s="110" t="str">
        <f>IF(AL93&gt;7,"v","")</f>
        <v/>
      </c>
      <c r="Z109" s="111"/>
      <c r="AA109" s="109"/>
      <c r="AB109" s="110" t="str">
        <f>IF(AL93&gt;8,"v","")</f>
        <v/>
      </c>
      <c r="AC109" s="111"/>
      <c r="AD109" s="109"/>
      <c r="AE109" s="110" t="str">
        <f>IF(AL93&gt;9,"v","")</f>
        <v/>
      </c>
      <c r="AF109" s="111"/>
      <c r="AG109" s="583" t="str">
        <f>IF(AL94&gt;0,"Team 1","")</f>
        <v>Team 1</v>
      </c>
      <c r="AH109" s="584" t="str">
        <f>IF(AL94&lt;1,"",IF(AL93&lt;1,"",IF(B109=1,B115-D115,IF(D109=1,D115-B115,""))))</f>
        <v/>
      </c>
      <c r="AI109" s="584">
        <f>IF(AL94&lt;1,"",IF(AL93&lt;2,"",IF(E109=1,E115-G115,IF(G109=1,G115-E115,""))))</f>
        <v>-17</v>
      </c>
      <c r="AJ109" s="584" t="str">
        <f>IF(AL94&lt;1,"",IF(AL93&lt;3,"",IF(H109=1,H115-J115,IF(J109=1,J115-H115,""))))</f>
        <v/>
      </c>
      <c r="AK109" s="584">
        <f>IF(AL94&lt;1,"",IF(AL93&lt;4,"",IF(L109=1,L115-N115,IF(N109=1,N115-L115,""))))</f>
        <v>-23</v>
      </c>
      <c r="AL109" s="584" t="str">
        <f>IF(AL94&lt;1,"",IF(AL93&lt;5,"",IF(O109=1,O115-Q115,IF(Q109=1,Q115-O115,""))))</f>
        <v/>
      </c>
      <c r="AM109" s="584">
        <f>IF(AL94&lt;1,"",IF(AL93&lt;6,"",IF(R109=1,R115-T115,IF(T109=1,T115-R115,""))))</f>
        <v>-11</v>
      </c>
      <c r="AN109" s="584" t="str">
        <f>IF(AL94&lt;1,"",IF(AL93&lt;7,"",IF(U109=1,U115-W115,IF(W109=1,W115-U115,""))))</f>
        <v/>
      </c>
      <c r="AO109" s="584" t="str">
        <f>IF(AL94&lt;1,"",IF(AL93&lt;8,"",IF(X109=1,X115-Z115,IF(Z109=1,Z115-X115,""))))</f>
        <v/>
      </c>
      <c r="AP109" s="584" t="str">
        <f>IF(AL94&lt;1,"",IF(AL93&lt;9,"",IF(AA109=1,AA115-AC115,IF(AC109=1,AC115-AA115,""))))</f>
        <v/>
      </c>
      <c r="AQ109" s="584" t="str">
        <f>IF(AL94&lt;1,"",IF(AL93&lt;10,"",IF(AD109=1,AD115-AF115,IF(AF109=1,AF115-AD115,""))))</f>
        <v/>
      </c>
      <c r="AR109" s="582">
        <f>SUM(AH109:AQ109)</f>
        <v>-51</v>
      </c>
    </row>
    <row r="110" spans="1:44" ht="15">
      <c r="A110" s="3" t="s">
        <v>36</v>
      </c>
      <c r="B110" s="112">
        <v>22</v>
      </c>
      <c r="C110" s="113" t="s">
        <v>37</v>
      </c>
      <c r="D110" s="114">
        <v>17</v>
      </c>
      <c r="E110" s="112">
        <v>16</v>
      </c>
      <c r="F110" s="113" t="str">
        <f>IF(AL93&gt;1,"/","")</f>
        <v>/</v>
      </c>
      <c r="G110" s="114">
        <v>24</v>
      </c>
      <c r="H110" s="112">
        <v>20</v>
      </c>
      <c r="I110" s="113" t="str">
        <f>IF(AL93&gt;2,"/","")</f>
        <v>/</v>
      </c>
      <c r="J110" s="114">
        <v>18</v>
      </c>
      <c r="K110" s="580"/>
      <c r="L110" s="112">
        <v>15</v>
      </c>
      <c r="M110" s="113" t="str">
        <f>IF(AL93&gt;3,"/","")</f>
        <v>/</v>
      </c>
      <c r="N110" s="114">
        <v>28</v>
      </c>
      <c r="O110" s="112">
        <v>16</v>
      </c>
      <c r="P110" s="113" t="str">
        <f>IF(AL93&gt;4,"/","")</f>
        <v>/</v>
      </c>
      <c r="Q110" s="114">
        <v>17</v>
      </c>
      <c r="R110" s="112">
        <v>17</v>
      </c>
      <c r="S110" s="113" t="str">
        <f>IF(AL93&gt;5,"/","")</f>
        <v>/</v>
      </c>
      <c r="T110" s="114">
        <v>23</v>
      </c>
      <c r="U110" s="112"/>
      <c r="V110" s="113" t="str">
        <f>IF(AL93&gt;6,"/","")</f>
        <v/>
      </c>
      <c r="W110" s="114"/>
      <c r="X110" s="112"/>
      <c r="Y110" s="113" t="str">
        <f>IF(AL93&gt;7,"/","")</f>
        <v/>
      </c>
      <c r="Z110" s="114"/>
      <c r="AA110" s="112"/>
      <c r="AB110" s="113" t="str">
        <f>IF(AL93&gt;8,"/","")</f>
        <v/>
      </c>
      <c r="AC110" s="114"/>
      <c r="AD110" s="112"/>
      <c r="AE110" s="113" t="str">
        <f>IF(AL93&gt;9,"/","")</f>
        <v/>
      </c>
      <c r="AF110" s="114"/>
      <c r="AG110" s="583" t="str">
        <f>IF(AL94&gt;1,"Team 2","")</f>
        <v>Team 2</v>
      </c>
      <c r="AH110" s="584">
        <f>IF(AL94&lt;2,"",IF(AL93&lt;1,"",IF(B109=2,B115-D115,IF(D109=2,D115-B115,""))))</f>
        <v>8</v>
      </c>
      <c r="AI110" s="584" t="str">
        <f>IF(AL94&lt;2,"",IF(AL93&lt;2,"",IF(E109=2,E115-G115,IF(G109=2,G115-E115,""))))</f>
        <v/>
      </c>
      <c r="AJ110" s="584">
        <f>IF(AL94&lt;2,"",IF(AL93&lt;3,"",IF(H109=2,H115-J115,IF(J109=2,J115-H115,""))))</f>
        <v>11</v>
      </c>
      <c r="AK110" s="584" t="str">
        <f>IF(AL94&lt;2,"",IF(AL93&lt;4,"",IF(L109=2,L115-N115,IF(N109=2,N115-L115,""))))</f>
        <v/>
      </c>
      <c r="AL110" s="584" t="str">
        <f>IF(AL94&lt;2,"",IF(AL93&lt;5,"",IF(O109=2,O115-Q115,IF(Q109=2,Q115-O115,""))))</f>
        <v/>
      </c>
      <c r="AM110" s="584">
        <f>IF(AL94&lt;2,"",IF(AL93&lt;6,"",IF(R109=2,R115-T115,IF(T109=2,T115-R115,""))))</f>
        <v>11</v>
      </c>
      <c r="AN110" s="584" t="str">
        <f>IF(AL94&lt;2,"",IF(AL93&lt;7,"",IF(U109=2,U115-W115,IF(W109=2,W115-U115,""))))</f>
        <v/>
      </c>
      <c r="AO110" s="584" t="str">
        <f>IF(AL94&lt;2,"",IF(AL93&lt;8,"",IF(X109=2,X115-Z115,IF(Z109=2,Z115-X115,""))))</f>
        <v/>
      </c>
      <c r="AP110" s="584" t="str">
        <f>IF(AL94&lt;2,"",IF(AL93&lt;9,"",IF(AA109=2,AA115-AC115,IF(AC109=2,AC115-AA115,""))))</f>
        <v/>
      </c>
      <c r="AQ110" s="584" t="str">
        <f>IF(AL94&lt;2,"",IF(AL93&lt;10,"",IF(AD109=2,AD115-AF115,IF(AF109=2,AF115-AD115,""))))</f>
        <v/>
      </c>
      <c r="AR110" s="582">
        <f>SUM(AH110:AQ110)</f>
        <v>30</v>
      </c>
    </row>
    <row r="111" spans="1:44" ht="15">
      <c r="A111" s="46" t="str">
        <f>IF(AL92&gt;1,"Game 2","")</f>
        <v>Game 2</v>
      </c>
      <c r="B111" s="112">
        <v>20</v>
      </c>
      <c r="C111" s="113" t="s">
        <v>37</v>
      </c>
      <c r="D111" s="114">
        <v>17</v>
      </c>
      <c r="E111" s="112">
        <v>16</v>
      </c>
      <c r="F111" s="113" t="str">
        <f>IF(AL93&gt;1,IF(AL92&gt;1,"/",""),"")</f>
        <v>/</v>
      </c>
      <c r="G111" s="114">
        <v>25</v>
      </c>
      <c r="H111" s="112">
        <v>23</v>
      </c>
      <c r="I111" s="113" t="str">
        <f>IF(AL93&gt;2,IF(AL92&gt;1,"/",""),"")</f>
        <v>/</v>
      </c>
      <c r="J111" s="114">
        <v>14</v>
      </c>
      <c r="K111" s="580"/>
      <c r="L111" s="112">
        <v>16</v>
      </c>
      <c r="M111" s="113" t="str">
        <f>IF(AL93&gt;3,IF(AL92&gt;1,"/",""),"")</f>
        <v>/</v>
      </c>
      <c r="N111" s="114">
        <v>26</v>
      </c>
      <c r="O111" s="112">
        <v>20</v>
      </c>
      <c r="P111" s="113" t="str">
        <f>IF(AL93&gt;4,IF(AL92&gt;1,"/",""),"")</f>
        <v>/</v>
      </c>
      <c r="Q111" s="114">
        <v>18</v>
      </c>
      <c r="R111" s="112">
        <v>18</v>
      </c>
      <c r="S111" s="113" t="str">
        <f>IF(AL93&gt;5,IF(AL92&gt;1,"/",""),"")</f>
        <v>/</v>
      </c>
      <c r="T111" s="114">
        <v>23</v>
      </c>
      <c r="U111" s="112"/>
      <c r="V111" s="113" t="str">
        <f>IF(AL93&gt;6,IF(AL92&gt;1,"/",""),"")</f>
        <v/>
      </c>
      <c r="W111" s="114"/>
      <c r="X111" s="112"/>
      <c r="Y111" s="113" t="str">
        <f>IF(AL93&gt;7,IF(AL92&gt;1,"/",""),"")</f>
        <v/>
      </c>
      <c r="Z111" s="114"/>
      <c r="AA111" s="112"/>
      <c r="AB111" s="113" t="str">
        <f>IF(AL93&gt;8,IF(AL92&gt;1,"/",""),"")</f>
        <v/>
      </c>
      <c r="AC111" s="114"/>
      <c r="AD111" s="112"/>
      <c r="AE111" s="113" t="str">
        <f>IF(AL93&gt;9,IF(AL92&gt;1,"/",""),"")</f>
        <v/>
      </c>
      <c r="AF111" s="114"/>
      <c r="AG111" s="583" t="str">
        <f>IF(AL94&gt;2,"Team 3","")</f>
        <v>Team 3</v>
      </c>
      <c r="AH111" s="584">
        <f>IF(AL94&lt;3,"",IF(AL93&lt;1,"",IF(B109=3,B115-D115,IF(D109=3,D115-B115,""))))</f>
        <v>-8</v>
      </c>
      <c r="AI111" s="584" t="str">
        <f>IF(AL94&lt;3,"",IF(AL93&lt;2,"",IF(E109=3,E115-G115,IF(G109=3,G115-E115,""))))</f>
        <v/>
      </c>
      <c r="AJ111" s="584" t="str">
        <f>IF(AL94&lt;3,"",IF(AL93&lt;3,"",IF(H109=3,H115-J115,IF(J109=3,J115-H115,""))))</f>
        <v/>
      </c>
      <c r="AK111" s="584">
        <f>IF(AL94&lt;3,"",IF(AL93&lt;4,"",IF(L109=3,L115-N115,IF(N109=3,N115-L115,""))))</f>
        <v>23</v>
      </c>
      <c r="AL111" s="584">
        <f>IF(AL94&lt;3,"",IF(AL93&lt;5,"",IF(O109=3,O115-Q115,IF(Q109=3,Q115-O115,""))))</f>
        <v>1</v>
      </c>
      <c r="AM111" s="584" t="str">
        <f>IF(AL94&lt;3,"",IF(AL93&lt;6,"",IF(R109=3,R115-T115,IF(T109=3,T115-R115,""))))</f>
        <v/>
      </c>
      <c r="AN111" s="584" t="str">
        <f>IF(AL94&lt;3,"",IF(AL93&lt;7,"",IF(U109=3,U115-W115,IF(W109=3,W115-U115,""))))</f>
        <v/>
      </c>
      <c r="AO111" s="584" t="str">
        <f>IF(AL94&lt;3,"",IF(AL93&lt;8,"",IF(X109=3,X115-Z115,IF(Z109=3,Z115-X115,""))))</f>
        <v/>
      </c>
      <c r="AP111" s="584" t="str">
        <f>IF(AL94&lt;3,"",IF(AL93&lt;9,"",IF(AA109=3,AA115-AC115,IF(AC109=3,AC115-AA115,""))))</f>
        <v/>
      </c>
      <c r="AQ111" s="584" t="str">
        <f>IF(AL94&lt;3,"",IF(AL93&lt;9,"",IF(AD109=3,AD115-AF115,IF(AF109=3,AF115-AD115,""))))</f>
        <v/>
      </c>
      <c r="AR111" s="582">
        <f>SUM(AH111:AQ111)</f>
        <v>16</v>
      </c>
    </row>
    <row r="112" spans="1:44" ht="15">
      <c r="A112" s="46" t="str">
        <f>IF(AL92&gt;2,"Game 3","")</f>
        <v/>
      </c>
      <c r="B112" s="112"/>
      <c r="C112" s="113" t="s">
        <v>37</v>
      </c>
      <c r="D112" s="114"/>
      <c r="E112" s="112"/>
      <c r="F112" s="113" t="str">
        <f>IF(AL93&gt;1,IF(AL92&gt;2,"/",""),"")</f>
        <v/>
      </c>
      <c r="G112" s="114"/>
      <c r="H112" s="112"/>
      <c r="I112" s="113" t="str">
        <f>IF(AL93&gt;2,IF(AL92&gt;2,"/",""),"")</f>
        <v/>
      </c>
      <c r="J112" s="114"/>
      <c r="K112" s="580"/>
      <c r="L112" s="112"/>
      <c r="M112" s="113" t="str">
        <f>IF(AL93&gt;3,IF(AL92&gt;2,"/",""),"")</f>
        <v/>
      </c>
      <c r="N112" s="114"/>
      <c r="O112" s="112"/>
      <c r="P112" s="113" t="str">
        <f>IF(AL93&gt;4,IF(AL92&gt;2,"/",""),"")</f>
        <v/>
      </c>
      <c r="Q112" s="114"/>
      <c r="R112" s="112"/>
      <c r="S112" s="113" t="str">
        <f>IF(AL93&gt;5,IF(AL92&gt;2,"/",""),"")</f>
        <v/>
      </c>
      <c r="T112" s="114"/>
      <c r="U112" s="112"/>
      <c r="V112" s="113" t="str">
        <f>IF(AL93&gt;6,IF(AL92&gt;2,"/",""),"")</f>
        <v/>
      </c>
      <c r="W112" s="114"/>
      <c r="X112" s="112"/>
      <c r="Y112" s="113" t="str">
        <f>IF(AL93&gt;7,IF(AL92&gt;2,"/",""),"")</f>
        <v/>
      </c>
      <c r="Z112" s="114"/>
      <c r="AA112" s="112"/>
      <c r="AB112" s="113" t="str">
        <f>IF(AL93&gt;8,IF(AL92&gt;2,"/",""),"")</f>
        <v/>
      </c>
      <c r="AC112" s="114"/>
      <c r="AD112" s="112"/>
      <c r="AE112" s="113" t="str">
        <f>IF(AL93&gt;9,IF(AL92&gt;2,"/",""),"")</f>
        <v/>
      </c>
      <c r="AF112" s="114"/>
      <c r="AG112" s="583" t="str">
        <f>IF(AL94&gt;3,"Team 4","")</f>
        <v>Team 4</v>
      </c>
      <c r="AH112" s="584" t="str">
        <f>IF(AL94&lt;4,"",IF(AL93&lt;1,"",IF(B109=4,B115-D115,IF(D109=4,D115-B115,""))))</f>
        <v/>
      </c>
      <c r="AI112" s="584">
        <f>IF(AL94&lt;4,"",IF(AL93&lt;2,"",IF(E109=4,E115-G115,IF(G109=4,G115-E115,""))))</f>
        <v>17</v>
      </c>
      <c r="AJ112" s="584">
        <f>IF(AL94&lt;4,"",IF(AL93&lt;3,"",IF(H109=4,H115-J115,IF(J109=4,J115-H115,""))))</f>
        <v>-11</v>
      </c>
      <c r="AK112" s="584" t="str">
        <f>IF(AL94&lt;4,"",IF(AL93&lt;4,"",IF(L109=4,L115-N115,IF(N109=4,N115-L115,""))))</f>
        <v/>
      </c>
      <c r="AL112" s="584">
        <f>IF(AL94&lt;4,"",IF(AL93&lt;5,"",IF(O109=4,O115-Q115,IF(Q109=4,Q115-O115,""))))</f>
        <v>-1</v>
      </c>
      <c r="AM112" s="584" t="str">
        <f>IF(AL94&lt;4,"",IF(AL93&lt;6,"",IF(R109=4,R115-T115,IF(T109=4,T115-R115,""))))</f>
        <v/>
      </c>
      <c r="AN112" s="584" t="str">
        <f>IF(AL94&lt;4,"",IF(AL93&lt;7,"",IF(U109=4,U115-W115,IF(W109=4,W115-U115,""))))</f>
        <v/>
      </c>
      <c r="AO112" s="584" t="str">
        <f>IF(AL94&lt;4,"",IF(AL93&lt;8,"",IF(X109=4,X115-Z115,IF(Z109=4,Z115-X115,""))))</f>
        <v/>
      </c>
      <c r="AP112" s="584" t="str">
        <f>IF(AL94&lt;4,"",IF(AL93&lt;9,"",IF(AA109=4,AA115-AC115,IF(AC109=4,AC115-AA115,""))))</f>
        <v/>
      </c>
      <c r="AQ112" s="584" t="str">
        <f>IF(AL94&lt;4,"",IF(AL93&lt;10,"",IF(AD109=4,AD115-AF115,IF(AF109=4,AF115-AD115,""))))</f>
        <v/>
      </c>
      <c r="AR112" s="582">
        <f>SUM(AH112:AQ112)</f>
        <v>5</v>
      </c>
    </row>
    <row r="113" spans="1:49" ht="15">
      <c r="A113" s="46" t="str">
        <f>IF(AL92&gt;3,"Game 4","")</f>
        <v/>
      </c>
      <c r="B113" s="112"/>
      <c r="C113" s="113" t="s">
        <v>37</v>
      </c>
      <c r="D113" s="114"/>
      <c r="E113" s="112"/>
      <c r="F113" s="113" t="str">
        <f>IF(AL93&gt;1,IF(AL92&gt;3,"/",""),"")</f>
        <v/>
      </c>
      <c r="G113" s="114"/>
      <c r="H113" s="112"/>
      <c r="I113" s="113" t="str">
        <f>IF(AL93&gt;2,IF(AL92&gt;3,"/",""),"")</f>
        <v/>
      </c>
      <c r="J113" s="114"/>
      <c r="K113" s="580"/>
      <c r="L113" s="112"/>
      <c r="M113" s="113" t="str">
        <f>IF(AL93&gt;3,IF(AL92&gt;3,"/",""),"")</f>
        <v/>
      </c>
      <c r="N113" s="114"/>
      <c r="O113" s="112"/>
      <c r="P113" s="113" t="str">
        <f>IF(AL93&gt;4,IF(AL92&gt;3,"/",""),"")</f>
        <v/>
      </c>
      <c r="Q113" s="114"/>
      <c r="R113" s="112"/>
      <c r="S113" s="113" t="str">
        <f>IF(AL93&gt;5,IF(AL92&gt;3,"/",""),"")</f>
        <v/>
      </c>
      <c r="T113" s="114"/>
      <c r="U113" s="112"/>
      <c r="V113" s="113" t="str">
        <f>IF(AL93&gt;6,IF(AL92&gt;3,"/",""),"")</f>
        <v/>
      </c>
      <c r="W113" s="114"/>
      <c r="X113" s="112"/>
      <c r="Y113" s="113" t="str">
        <f>IF(AL93&gt;7,IF(AL92&gt;3,"/",""),"")</f>
        <v/>
      </c>
      <c r="Z113" s="114"/>
      <c r="AA113" s="112"/>
      <c r="AB113" s="113" t="str">
        <f>IF(AL93&gt;8,IF(AL92&gt;3,"/",""),"")</f>
        <v/>
      </c>
      <c r="AC113" s="114"/>
      <c r="AD113" s="112"/>
      <c r="AE113" s="113" t="str">
        <f>IF(AL93&gt;9,IF(AL92&gt;3,"/",""),"")</f>
        <v/>
      </c>
      <c r="AF113" s="114"/>
      <c r="AG113" s="583" t="str">
        <f>IF(AL94&gt;4,"Team 5","")</f>
        <v/>
      </c>
      <c r="AH113" s="585" t="str">
        <f>IF(AL94&lt;5,"",IF(AL93&lt;1,"",IF(B109=5,B115-D115,IF(D109=5,D115-B115,""))))</f>
        <v/>
      </c>
      <c r="AI113" s="584" t="str">
        <f>IF(AL94&lt;5,"",IF(AL93&lt;2,"",IF(E109=5,E115-G115,IF(G109=5,G115-E115,""))))</f>
        <v/>
      </c>
      <c r="AJ113" s="584" t="str">
        <f>IF(AL94&lt;5,"",IF(AL93&lt;3,"",IF(H109=5,H115-J115,IF(J109=5,J115-H115,""))))</f>
        <v/>
      </c>
      <c r="AK113" s="584" t="str">
        <f>IF(AL94&lt;5,"",IF(AL93&lt;4,"",IF(L109=5,L115-N115,IF(N109=5,N115-L115,""))))</f>
        <v/>
      </c>
      <c r="AL113" s="584" t="str">
        <f>IF(AL94&lt;5,"",IF(AL93&lt;5,"",IF(O109=5,O115-Q115,IF(Q109=5,Q115-O115,""))))</f>
        <v/>
      </c>
      <c r="AM113" s="584" t="str">
        <f>IF(AL94&lt;5,"",IF(AL93&lt;6,"",IF(R109=5,R115-T115,IF(T109=5,T115-R115,""))))</f>
        <v/>
      </c>
      <c r="AN113" s="584" t="str">
        <f>IF(AL94&lt;5,"",IF(AL93&lt;7,"",IF(U109=5,U115-W115,IF(W109=5,W115-U115,""))))</f>
        <v/>
      </c>
      <c r="AO113" s="584" t="str">
        <f>IF(AL94&lt;5,"",IF(AL93&lt;8,"",IF(X109=5,X115-Z115,IF(Z109=5,Z115-X115,""))))</f>
        <v/>
      </c>
      <c r="AP113" s="584" t="str">
        <f>IF(AL94&lt;5,"",IF(AL93&lt;9,"",IF(AA109=5,AA115-AC115,IF(AC109=5,AC115-AA115,""))))</f>
        <v/>
      </c>
      <c r="AQ113" s="584" t="str">
        <f>IF(AL94&lt;5,"",IF(AL93&lt;10,"",IF(AD109=5,AD115-AF115,IF(AF109=5,AF115-AD115,""))))</f>
        <v/>
      </c>
      <c r="AR113" s="582">
        <f>SUM(AH113:AQ113)</f>
        <v>0</v>
      </c>
    </row>
    <row r="114" spans="1:49" ht="15">
      <c r="A114" s="46" t="str">
        <f>IF(AL92&gt;4,"Game 5","")</f>
        <v/>
      </c>
      <c r="B114" s="112"/>
      <c r="C114" s="113" t="s">
        <v>37</v>
      </c>
      <c r="D114" s="114"/>
      <c r="E114" s="112"/>
      <c r="F114" s="113" t="str">
        <f>IF(AL93&gt;1,IF(AL92&gt;4,"/",""),"")</f>
        <v/>
      </c>
      <c r="G114" s="114"/>
      <c r="H114" s="112"/>
      <c r="I114" s="113" t="str">
        <f>IF(AL93&gt;2,IF(AL92&gt;4,"/",""),"")</f>
        <v/>
      </c>
      <c r="J114" s="114"/>
      <c r="K114" s="586"/>
      <c r="L114" s="112"/>
      <c r="M114" s="113" t="str">
        <f>IF(AL93&gt;3,IF(AL92&gt;4,"/",""),"")</f>
        <v/>
      </c>
      <c r="N114" s="114"/>
      <c r="O114" s="112"/>
      <c r="P114" s="113" t="str">
        <f>IF(AL93&gt;4,IF(AL92&gt;4,"/",""),"")</f>
        <v/>
      </c>
      <c r="Q114" s="114"/>
      <c r="R114" s="112"/>
      <c r="S114" s="113" t="str">
        <f>IF(AL93&gt;5,IF(AL92&gt;4,"/",""),"")</f>
        <v/>
      </c>
      <c r="T114" s="114"/>
      <c r="U114" s="112"/>
      <c r="V114" s="113" t="str">
        <f>IF(AL93&gt;6,IF(AL92&gt;4,"/",""),"")</f>
        <v/>
      </c>
      <c r="W114" s="114"/>
      <c r="X114" s="112"/>
      <c r="Y114" s="113" t="str">
        <f>IF(AL93&gt;7,IF(AL92&gt;4,"/",""),"")</f>
        <v/>
      </c>
      <c r="Z114" s="114"/>
      <c r="AA114" s="112"/>
      <c r="AB114" s="113" t="str">
        <f>IF(AL93&gt;8,IF(AL92&gt;4,"/",""),"")</f>
        <v/>
      </c>
      <c r="AC114" s="114"/>
      <c r="AD114" s="112"/>
      <c r="AE114" s="113" t="str">
        <f>IF(AL93&gt;9,IF(AL92&gt;4,"/",""),"")</f>
        <v/>
      </c>
      <c r="AF114" s="114"/>
      <c r="AG114" s="534"/>
      <c r="AH114" s="534"/>
      <c r="AI114" s="534"/>
      <c r="AJ114" s="534"/>
      <c r="AK114" s="534"/>
      <c r="AL114" s="534"/>
      <c r="AM114" s="534"/>
      <c r="AN114" s="534"/>
      <c r="AO114" s="534"/>
      <c r="AP114" s="534"/>
      <c r="AQ114" s="534"/>
      <c r="AR114" s="534"/>
    </row>
    <row r="115" spans="1:49" hidden="1">
      <c r="A115" s="116"/>
      <c r="B115" s="116">
        <f>IF($AL92=5,SUM(B110:B114),IF($AL92=4,SUM(B110:B113),IF($AL92=3,SUM(B110:B112),IF($AL92=2,SUM(B110:B111),B110))))</f>
        <v>42</v>
      </c>
      <c r="C115" s="116"/>
      <c r="D115" s="116">
        <f>IF($AL92=5,SUM(D110:D114),IF($AL92=4,SUM(D110:D113),IF($AL92=3,SUM(D110:D112),IF($AL92=2,SUM(D110:D111),D110))))</f>
        <v>34</v>
      </c>
      <c r="E115" s="116">
        <f>IF($AL92=5,SUM(E110:E114),IF($AL92=4,SUM(E110:E113),IF($AL92=3,SUM(E110:E112),IF($AL92=2,SUM(E110:E111),E110))))</f>
        <v>32</v>
      </c>
      <c r="F115" s="116"/>
      <c r="G115" s="116">
        <f>IF($AL92=5,SUM(G110:G114),IF($AL92=4,SUM(G110:G113),IF($AL92=3,SUM(G110:G112),IF($AL92=2,SUM(G110:G111),G110))))</f>
        <v>49</v>
      </c>
      <c r="H115" s="116">
        <f>IF($AL92=5,SUM(H110:H114),IF($AL92=4,SUM(H110:H113),IF($AL92=3,SUM(H110:H112),IF($AL92=2,SUM(H110:H111),H110))))</f>
        <v>43</v>
      </c>
      <c r="I115" s="116"/>
      <c r="J115" s="116">
        <f>IF($AL92=5,SUM(J110:J114),IF($AL92=4,SUM(J110:J113),IF($AL92=3,SUM(J110:J112),IF($AL92=2,SUM(J110:J111),J110))))</f>
        <v>32</v>
      </c>
      <c r="K115" s="116"/>
      <c r="L115" s="116">
        <f>IF($AL92=5,SUM(L110:L114),IF($AL92=4,SUM(L110:L113),IF($AL92=3,SUM(L110:L112),IF($AL92=2,SUM(L110:L111),L110))))</f>
        <v>31</v>
      </c>
      <c r="M115" s="116"/>
      <c r="N115" s="116">
        <f>IF($AL92=5,SUM(N110:N114),IF($AL92=4,SUM(N110:N113),IF($AL92=3,SUM(N110:N112),IF($AL92=2,SUM(N110:N111),N110))))</f>
        <v>54</v>
      </c>
      <c r="O115" s="116">
        <f>IF($AL92=5,SUM(O110:O114),IF($AL92=4,SUM(O110:O113),IF($AL92=3,SUM(O110:O112),IF($AL92=2,SUM(O110:O111),O110))))</f>
        <v>36</v>
      </c>
      <c r="P115" s="116"/>
      <c r="Q115" s="116">
        <f>IF($AL92=5,SUM(Q110:Q114),IF($AL92=4,SUM(Q110:Q113),IF($AL92=3,SUM(Q110:Q112),IF($AL92=2,SUM(Q110:Q111),Q110))))</f>
        <v>35</v>
      </c>
      <c r="R115" s="116">
        <f>IF($AL92=5,SUM(R110:R114),IF($AL92=4,SUM(R110:R113),IF($AL92=3,SUM(R110:R112),IF($AL92=2,SUM(R110:R111),R110))))</f>
        <v>35</v>
      </c>
      <c r="S115" s="116"/>
      <c r="T115" s="116">
        <f>IF($AL92=5,SUM(T110:T114),IF($AL92=4,SUM(T110:T113),IF($AL92=3,SUM(T110:T112),IF($AL92=2,SUM(T110:T111),T110))))</f>
        <v>46</v>
      </c>
      <c r="U115" s="116">
        <f>IF($AL92=5,SUM(U110:U114),IF($AL92=4,SUM(U110:U113),IF($AL92=3,SUM(U110:U112),IF($AL92=2,SUM(U110:U111),U110))))</f>
        <v>0</v>
      </c>
      <c r="V115" s="116"/>
      <c r="W115" s="116">
        <f>IF($AL92=5,SUM(W110:W114),IF($AL92=4,SUM(W110:W113),IF($AL92=3,SUM(W110:W112),IF($AL92=2,SUM(W110:W111),W110))))</f>
        <v>0</v>
      </c>
      <c r="X115" s="116">
        <f>IF($AL92=5,SUM(X110:X114),IF($AL92=4,SUM(X110:X113),IF($AL92=3,SUM(X110:X112),IF($AL92=2,SUM(X110:X111),X110))))</f>
        <v>0</v>
      </c>
      <c r="Y115" s="116"/>
      <c r="Z115" s="116">
        <f>IF($AL92=5,SUM(Z110:Z114),IF($AL92=4,SUM(Z110:Z113),IF($AL92=3,SUM(Z110:Z112),IF($AL92=2,SUM(Z110:Z111),Z110))))</f>
        <v>0</v>
      </c>
      <c r="AA115" s="116">
        <f>IF($AL92=5,SUM(AA110:AA114),IF($AL92=4,SUM(AA110:AA113),IF($AL92=3,SUM(AA110:AA112),IF($AL92=2,SUM(AA110:AA111),AA110))))</f>
        <v>0</v>
      </c>
      <c r="AB115" s="116"/>
      <c r="AC115" s="116">
        <f>IF($AL92=5,SUM(AC110:AC114),IF($AL92=4,SUM(AC110:AC113),IF($AL92=3,SUM(AC110:AC112),IF($AL92=2,SUM(AC110:AC111),AC110))))</f>
        <v>0</v>
      </c>
      <c r="AD115" s="116">
        <f>IF($AL92=5,SUM(AD110:AD114),IF($AL92=4,SUM(AD110:AD113),IF($AL92=3,SUM(AD110:AD112),IF($AL92=2,SUM(AD110:AD111),AD110))))</f>
        <v>0</v>
      </c>
      <c r="AE115" s="116"/>
      <c r="AF115" s="116">
        <f>IF($AL92=5,SUM(AF110:AF114),IF($AL92=4,SUM(AF110:AF113),IF($AL92=3,SUM(AF110:AF112),IF($AL92=2,SUM(AF110:AF111),AF110))))</f>
        <v>0</v>
      </c>
      <c r="AG115" s="534"/>
      <c r="AH115" s="534"/>
      <c r="AI115" s="534"/>
      <c r="AJ115" s="534"/>
      <c r="AK115" s="534"/>
      <c r="AL115" s="534"/>
      <c r="AM115" s="534"/>
      <c r="AN115" s="534"/>
      <c r="AO115" s="534"/>
      <c r="AP115" s="534"/>
      <c r="AQ115" s="534"/>
      <c r="AR115" s="534"/>
    </row>
    <row r="116" spans="1:49" s="115" customFormat="1" ht="12.75" hidden="1" customHeight="1">
      <c r="A116" s="115" t="s">
        <v>201</v>
      </c>
      <c r="B116" s="164">
        <f>IF(AND(B110&gt;D110,$AL93&gt;0,ISNUMBER(B110),ISNUMBER(D110)),1,0)</f>
        <v>1</v>
      </c>
      <c r="C116" s="164"/>
      <c r="D116" s="165">
        <f>IF(AND(D110&gt;B110,$AL93&gt;0,ISNUMBER(B110),ISNUMBER(D110)),1,0)</f>
        <v>0</v>
      </c>
      <c r="E116" s="164">
        <f>IF(AND(E110&gt;G110,$AL93&gt;1,ISNUMBER(E110),ISNUMBER(G110)),1,0)</f>
        <v>0</v>
      </c>
      <c r="F116" s="164"/>
      <c r="G116" s="165">
        <f>IF(AND(G110&gt;E110,$AL93&gt;1,ISNUMBER(E110),ISNUMBER(G110)),1,0)</f>
        <v>1</v>
      </c>
      <c r="H116" s="164">
        <f>IF(AND(H110&gt;J110,$AL93&gt;2,ISNUMBER(H110),ISNUMBER(J110)),1,0)</f>
        <v>1</v>
      </c>
      <c r="I116" s="164"/>
      <c r="J116" s="165">
        <f>IF(AND(J110&gt;H110,$AL93&gt;2,ISNUMBER(H110),ISNUMBER(J110)),1,0)</f>
        <v>0</v>
      </c>
      <c r="K116" s="168"/>
      <c r="L116" s="164">
        <f>IF(AND(L110&gt;N110,$AL93&gt;3,ISNUMBER(L110),ISNUMBER(N110)),1,0)</f>
        <v>0</v>
      </c>
      <c r="M116" s="164"/>
      <c r="N116" s="165">
        <f>IF(AND(N110&gt;L110,$AL93&gt;3,ISNUMBER(L110),ISNUMBER(N110)),1,0)</f>
        <v>1</v>
      </c>
      <c r="O116" s="164">
        <f>IF(AND(O110&gt;Q110,$AL93&gt;4,ISNUMBER(O110),ISNUMBER(Q110)),1,0)</f>
        <v>0</v>
      </c>
      <c r="P116" s="164"/>
      <c r="Q116" s="165">
        <f>IF(AND(Q110&gt;O110,$AL93&gt;4,ISNUMBER(O110),ISNUMBER(Q110)),1,0)</f>
        <v>1</v>
      </c>
      <c r="R116" s="164">
        <f>IF(AND(R110&gt;T110,$AL93&gt;5,ISNUMBER(R110),ISNUMBER(T110)),1,0)</f>
        <v>0</v>
      </c>
      <c r="S116" s="164"/>
      <c r="T116" s="165">
        <f>IF(AND(T110&gt;R110,$AL93&gt;5,ISNUMBER(R110),ISNUMBER(T110)),1,0)</f>
        <v>1</v>
      </c>
      <c r="U116" s="164">
        <f>IF(AND(U110&gt;W110,$AL93&gt;6,ISNUMBER(U110),ISNUMBER(W110)),1,0)</f>
        <v>0</v>
      </c>
      <c r="V116" s="164"/>
      <c r="W116" s="165">
        <f>IF(AND(W110&gt;U110,$AL93&gt;6,ISNUMBER(U110),ISNUMBER(W110)),1,0)</f>
        <v>0</v>
      </c>
      <c r="X116" s="164">
        <f>IF(AND(X110&gt;Z110,$AL93&gt;7,ISNUMBER(X110),ISNUMBER(Z110)),1,0)</f>
        <v>0</v>
      </c>
      <c r="Y116" s="164"/>
      <c r="Z116" s="165">
        <f>IF(AND(Z110&gt;X110,$AL93&gt;7,ISNUMBER(X110),ISNUMBER(Z110)),1,0)</f>
        <v>0</v>
      </c>
      <c r="AA116" s="164">
        <f>IF(AND(AA110&gt;AC110,$AL93&gt;8,ISNUMBER(AA110),ISNUMBER(AC110)),1,0)</f>
        <v>0</v>
      </c>
      <c r="AB116" s="164"/>
      <c r="AC116" s="165">
        <f>IF(AND(AC110&gt;AA110,$AL93&gt;8,ISNUMBER(AA110),ISNUMBER(AC110)),1,0)</f>
        <v>0</v>
      </c>
      <c r="AD116" s="164">
        <f>IF(AND(AD110&gt;AF110,$AL93&gt;9,ISNUMBER(AD110),ISNUMBER(AF110)),1,0)</f>
        <v>0</v>
      </c>
      <c r="AE116" s="164"/>
      <c r="AF116" s="165">
        <f>IF(AND(AF110&gt;AD110,$AL93&gt;9,ISNUMBER(AD110),ISNUMBER(AF110)),1,0)</f>
        <v>0</v>
      </c>
      <c r="AW116" s="166"/>
    </row>
    <row r="117" spans="1:49" s="115" customFormat="1" ht="12.75" hidden="1" customHeight="1">
      <c r="A117" s="115" t="s">
        <v>202</v>
      </c>
      <c r="B117" s="164">
        <f>IF(AND(B111&gt;D111,$AL93&gt;0,$AL92&gt;1,ISNUMBER(B111),ISNUMBER(D111)),1,0)</f>
        <v>1</v>
      </c>
      <c r="C117" s="164"/>
      <c r="D117" s="165">
        <f>IF(AND(D111&gt;B111,$AL93&gt;0,$AL92&gt;1,ISNUMBER(B111),ISNUMBER(D111)),1,0)</f>
        <v>0</v>
      </c>
      <c r="E117" s="164">
        <f>IF(AND(E111&gt;G111,$AL93&gt;1,$AL92&gt;1,ISNUMBER(E111),ISNUMBER(G111)),1,0)</f>
        <v>0</v>
      </c>
      <c r="F117" s="164"/>
      <c r="G117" s="165">
        <f>IF(AND(G111&gt;E111,$AL93&gt;1,$AL92&gt;1,ISNUMBER(E111),ISNUMBER(G111)),1,0)</f>
        <v>1</v>
      </c>
      <c r="H117" s="164">
        <f>IF(AND(H111&gt;J111,$AL93&gt;2,$AL92&gt;1,ISNUMBER(H111),ISNUMBER(J111)),1,0)</f>
        <v>1</v>
      </c>
      <c r="I117" s="164"/>
      <c r="J117" s="165">
        <f>IF(AND(J111&gt;H111,$AL93&gt;2,$AL92&gt;1,ISNUMBER(H111),ISNUMBER(J111)),1,0)</f>
        <v>0</v>
      </c>
      <c r="K117" s="168"/>
      <c r="L117" s="164">
        <f>IF(AND(L111&gt;N111,$AL93&gt;3,$AL92&gt;1,ISNUMBER(L111),ISNUMBER(N111)),1,0)</f>
        <v>0</v>
      </c>
      <c r="M117" s="164"/>
      <c r="N117" s="165">
        <f>IF(AND(N111&gt;L111,$AL93&gt;3,$AL92&gt;1,ISNUMBER(L111),ISNUMBER(N111)),1,0)</f>
        <v>1</v>
      </c>
      <c r="O117" s="164">
        <f>IF(AND(O111&gt;Q111,$AL93&gt;4,$AL92&gt;1,ISNUMBER(O111),ISNUMBER(Q111)),1,0)</f>
        <v>1</v>
      </c>
      <c r="P117" s="164"/>
      <c r="Q117" s="165">
        <f>IF(AND(Q111&gt;O111,$AL93&gt;4,$AL92&gt;1,ISNUMBER(O111),ISNUMBER(Q111)),1,0)</f>
        <v>0</v>
      </c>
      <c r="R117" s="164">
        <f>IF(AND(R111&gt;T111,$AL93&gt;5,$AL92&gt;1,ISNUMBER(R111),ISNUMBER(T111)),1,0)</f>
        <v>0</v>
      </c>
      <c r="S117" s="164"/>
      <c r="T117" s="165">
        <f>IF(AND(T111&gt;R111,$AL93&gt;5,$AL92&gt;1,ISNUMBER(R111),ISNUMBER(T111)),1,0)</f>
        <v>1</v>
      </c>
      <c r="U117" s="164">
        <f>IF(AND(U111&gt;W111,$AL93&gt;6,$AL92&gt;1,ISNUMBER(U111),ISNUMBER(W111)),1,0)</f>
        <v>0</v>
      </c>
      <c r="V117" s="164"/>
      <c r="W117" s="165">
        <f>IF(AND(W111&gt;U111,$AL93&gt;6,$AL92&gt;1,ISNUMBER(U111),ISNUMBER(W111)),1,0)</f>
        <v>0</v>
      </c>
      <c r="X117" s="164">
        <f>IF(AND(X111&gt;Z111,$AL93&gt;7,$AL92&gt;1,ISNUMBER(X111),ISNUMBER(Z111)),1,0)</f>
        <v>0</v>
      </c>
      <c r="Y117" s="164"/>
      <c r="Z117" s="165">
        <f>IF(AND(Z111&gt;X111,$AL93&gt;7,$AL92&gt;1,ISNUMBER(X111),ISNUMBER(Z111)),1,0)</f>
        <v>0</v>
      </c>
      <c r="AA117" s="164">
        <f>IF(AND(AA111&gt;AC111,$AL93&gt;8,$AL92&gt;1,ISNUMBER(AA111),ISNUMBER(AC111)),1,0)</f>
        <v>0</v>
      </c>
      <c r="AB117" s="164"/>
      <c r="AC117" s="165">
        <f>IF(AND(AC111&gt;AA111,$AL93&gt;8,$AL92&gt;1,ISNUMBER(AA111),ISNUMBER(AC111)),1,0)</f>
        <v>0</v>
      </c>
      <c r="AD117" s="164">
        <f>IF(AND(AD111&gt;AF111,$AL93&gt;9,$AL92&gt;1,ISNUMBER(AD111),ISNUMBER(AF111)),1,0)</f>
        <v>0</v>
      </c>
      <c r="AE117" s="164"/>
      <c r="AF117" s="165">
        <f>IF(AND(AF111&gt;AD111,$AL93&gt;9,$AL92&gt;1,ISNUMBER(AD111),ISNUMBER(AF111)),1,0)</f>
        <v>0</v>
      </c>
      <c r="AW117" s="166"/>
    </row>
    <row r="118" spans="1:49" s="115" customFormat="1" ht="12.75" hidden="1" customHeight="1">
      <c r="A118" s="115" t="s">
        <v>203</v>
      </c>
      <c r="B118" s="164">
        <f>IF(AND(B112&gt;D112,$AL93&gt;0,$AL92&gt;2,ISNUMBER(B112),ISNUMBER(D112)),1,0)</f>
        <v>0</v>
      </c>
      <c r="C118" s="164"/>
      <c r="D118" s="165">
        <f>IF(AND(D112&gt;B112,$AL93&gt;0,$AL92&gt;2,ISNUMBER(B112),ISNUMBER(D112)),1,0)</f>
        <v>0</v>
      </c>
      <c r="E118" s="164">
        <f>IF(AND(E112&gt;G112,$AL93&gt;1,$AL92&gt;2,ISNUMBER(E112),ISNUMBER(G112)),1,0)</f>
        <v>0</v>
      </c>
      <c r="F118" s="164"/>
      <c r="G118" s="165">
        <f>IF(AND(G112&gt;E112,$AL93&gt;1,$AL92&gt;2,ISNUMBER(E112),ISNUMBER(G112)),1,0)</f>
        <v>0</v>
      </c>
      <c r="H118" s="164">
        <f>IF(AND(H112&gt;J112,$AL93&gt;2,$AL92&gt;2,ISNUMBER(H112),ISNUMBER(J112)),1,0)</f>
        <v>0</v>
      </c>
      <c r="I118" s="164"/>
      <c r="J118" s="165">
        <f>IF(AND(J112&gt;H112,$AL93&gt;2,$AL92&gt;2,ISNUMBER(H112),ISNUMBER(J112)),1,0)</f>
        <v>0</v>
      </c>
      <c r="K118" s="168"/>
      <c r="L118" s="164">
        <f>IF(AND(L112&gt;N112,$AL93&gt;3,$AL92&gt;2,ISNUMBER(L112),ISNUMBER(N112)),1,0)</f>
        <v>0</v>
      </c>
      <c r="M118" s="164"/>
      <c r="N118" s="165">
        <f>IF(AND(N112&gt;L112,$AL93&gt;3,$AL92&gt;2,ISNUMBER(L112),ISNUMBER(N112)),1,0)</f>
        <v>0</v>
      </c>
      <c r="O118" s="164">
        <f>IF(AND(O112&gt;Q112,$AL93&gt;4,$AL92&gt;2,ISNUMBER(O112),ISNUMBER(Q112)),1,0)</f>
        <v>0</v>
      </c>
      <c r="P118" s="164"/>
      <c r="Q118" s="165">
        <f>IF(AND(Q112&gt;O112,$AL93&gt;4,$AL92&gt;2,ISNUMBER(O112),ISNUMBER(Q112)),1,0)</f>
        <v>0</v>
      </c>
      <c r="R118" s="164">
        <f>IF(AND(R112&gt;T112,$AL93&gt;5,$AL92&gt;2,ISNUMBER(R112),ISNUMBER(T112)),1,0)</f>
        <v>0</v>
      </c>
      <c r="S118" s="164"/>
      <c r="T118" s="165">
        <f>IF(AND(T112&gt;R112,$AL93&gt;5,$AL92&gt;2,ISNUMBER(R112),ISNUMBER(T112)),1,0)</f>
        <v>0</v>
      </c>
      <c r="U118" s="164">
        <f>IF(AND(U112&gt;W112,$AL93&gt;6,$AL92&gt;2,ISNUMBER(U112),ISNUMBER(W112)),1,0)</f>
        <v>0</v>
      </c>
      <c r="V118" s="164"/>
      <c r="W118" s="165">
        <f>IF(AND(W112&gt;U112,$AL93&gt;6,$AL92&gt;2,ISNUMBER(U112),ISNUMBER(W112)),1,0)</f>
        <v>0</v>
      </c>
      <c r="X118" s="164">
        <f>IF(AND(X112&gt;Z112,$AL93&gt;7,$AL92&gt;2,ISNUMBER(X112),ISNUMBER(Z112)),1,0)</f>
        <v>0</v>
      </c>
      <c r="Y118" s="164"/>
      <c r="Z118" s="165">
        <f>IF(AND(Z112&gt;X112,$AL93&gt;7,$AL92&gt;2,ISNUMBER(X112),ISNUMBER(Z112)),1,0)</f>
        <v>0</v>
      </c>
      <c r="AA118" s="164">
        <f>IF(AND(AA112&gt;AC112,$AL93&gt;8,$AL92&gt;2,ISNUMBER(AA112),ISNUMBER(AC112)),1,0)</f>
        <v>0</v>
      </c>
      <c r="AB118" s="164"/>
      <c r="AC118" s="165">
        <f>IF(AND(AC112&gt;AA112,$AL93&gt;8,$AL92&gt;2,ISNUMBER(AA112),ISNUMBER(AC112)),1,0)</f>
        <v>0</v>
      </c>
      <c r="AD118" s="164">
        <f>IF(AND(AD112&gt;AF112,$AL93&gt;9,$AL92&gt;2,ISNUMBER(AD112),ISNUMBER(AF112)),1,0)</f>
        <v>0</v>
      </c>
      <c r="AE118" s="164"/>
      <c r="AF118" s="165">
        <f>IF(AND(AF112&gt;AD112,$AL93&gt;9,$AL92&gt;2,ISNUMBER(AD112),ISNUMBER(AF112)),1,0)</f>
        <v>0</v>
      </c>
      <c r="AW118" s="166"/>
    </row>
    <row r="119" spans="1:49" s="115" customFormat="1" ht="12.75" hidden="1" customHeight="1">
      <c r="A119" s="115" t="s">
        <v>204</v>
      </c>
      <c r="B119" s="164">
        <f>IF(AND(B113&gt;D113,$AL93&gt;0,$AL92&gt;3,ISNUMBER(B113),ISNUMBER(D113)),1,0)</f>
        <v>0</v>
      </c>
      <c r="C119" s="164"/>
      <c r="D119" s="165">
        <f>IF(AND(D113&gt;B113,$AL93&gt;0,$AL92&gt;3,ISNUMBER(B113),ISNUMBER(D113)),1,0)</f>
        <v>0</v>
      </c>
      <c r="E119" s="164">
        <f>IF(AND(E113&gt;G113,$AL93&gt;1,$AL92&gt;3,ISNUMBER(E113),ISNUMBER(G113)),1,0)</f>
        <v>0</v>
      </c>
      <c r="F119" s="164"/>
      <c r="G119" s="165">
        <f>IF(AND(G113&gt;E113,$AL93&gt;1,$AL92&gt;3,ISNUMBER(E113),ISNUMBER(G113)),1,0)</f>
        <v>0</v>
      </c>
      <c r="H119" s="164">
        <f>IF(AND(H113&gt;J113,$AL93&gt;2,$AL92&gt;3,ISNUMBER(H113),ISNUMBER(J113)),1,0)</f>
        <v>0</v>
      </c>
      <c r="I119" s="164"/>
      <c r="J119" s="165">
        <f>IF(AND(J113&gt;H113,$AL93&gt;2,$AL92&gt;3,ISNUMBER(H113),ISNUMBER(J113)),1,0)</f>
        <v>0</v>
      </c>
      <c r="K119" s="168"/>
      <c r="L119" s="164">
        <f>IF(AND(L113&gt;N113,$AL93&gt;3,$AL92&gt;3,ISNUMBER(L113),ISNUMBER(N113)),1,0)</f>
        <v>0</v>
      </c>
      <c r="M119" s="164"/>
      <c r="N119" s="165">
        <f>IF(AND(N113&gt;L113,$AL93&gt;3,$AL92&gt;3,ISNUMBER(L113),ISNUMBER(N113)),1,0)</f>
        <v>0</v>
      </c>
      <c r="O119" s="164">
        <f>IF(AND(O113&gt;Q113,$AL93&gt;4,$AL92&gt;3,ISNUMBER(O113),ISNUMBER(Q113)),1,0)</f>
        <v>0</v>
      </c>
      <c r="P119" s="164"/>
      <c r="Q119" s="165">
        <f>IF(AND(Q113&gt;O113,$AL93&gt;4,$AL92&gt;3,ISNUMBER(O113),ISNUMBER(Q113)),1,0)</f>
        <v>0</v>
      </c>
      <c r="R119" s="164">
        <f>IF(AND(R113&gt;T113,$AL93&gt;5,$AL92&gt;3,ISNUMBER(R113),ISNUMBER(T113)),1,0)</f>
        <v>0</v>
      </c>
      <c r="S119" s="164"/>
      <c r="T119" s="165">
        <f>IF(AND(T113&gt;R113,$AL93&gt;5,$AL92&gt;3,ISNUMBER(R113),ISNUMBER(T113)),1,0)</f>
        <v>0</v>
      </c>
      <c r="U119" s="164">
        <f>IF(AND(U113&gt;W113,$AL93&gt;6,$AL92&gt;3,ISNUMBER(U113),ISNUMBER(W113)),1,0)</f>
        <v>0</v>
      </c>
      <c r="V119" s="164"/>
      <c r="W119" s="165">
        <f>IF(AND(W113&gt;U113,$AL93&gt;6,$AL92&gt;3,ISNUMBER(U113),ISNUMBER(W113)),1,0)</f>
        <v>0</v>
      </c>
      <c r="X119" s="164">
        <f>IF(AND(X113&gt;Z113,$AL93&gt;7,$AL92&gt;3,ISNUMBER(X113),ISNUMBER(Z113)),1,0)</f>
        <v>0</v>
      </c>
      <c r="Y119" s="164"/>
      <c r="Z119" s="165">
        <f>IF(AND(Z113&gt;X113,$AL93&gt;7,$AL92&gt;3,ISNUMBER(X113),ISNUMBER(Z113)),1,0)</f>
        <v>0</v>
      </c>
      <c r="AA119" s="164">
        <f>IF(AND(AA113&gt;AC113,$AL93&gt;8,$AL92&gt;3,ISNUMBER(AA113),ISNUMBER(AC113)),1,0)</f>
        <v>0</v>
      </c>
      <c r="AB119" s="164"/>
      <c r="AC119" s="165">
        <f>IF(AND(AC113&gt;AA113,$AL93&gt;8,$AL92&gt;3,ISNUMBER(AA113),ISNUMBER(AC113)),1,0)</f>
        <v>0</v>
      </c>
      <c r="AD119" s="164">
        <f>IF(AND(AD113&gt;AF113,$AL93&gt;9,$AL92&gt;3,ISNUMBER(AD113),ISNUMBER(AF113)),1,0)</f>
        <v>0</v>
      </c>
      <c r="AE119" s="164"/>
      <c r="AF119" s="165">
        <f>IF(AND(AF113&gt;AD113,$AL93&gt;9,$AL92&gt;3,ISNUMBER(AD113),ISNUMBER(AF113)),1,0)</f>
        <v>0</v>
      </c>
      <c r="AW119" s="166"/>
    </row>
    <row r="120" spans="1:49" s="115" customFormat="1" ht="12.75" hidden="1" customHeight="1">
      <c r="A120" s="115" t="s">
        <v>205</v>
      </c>
      <c r="B120" s="164">
        <f>IF(AND(B114&gt;D114,$AL93&gt;0,$AL92&gt;4,ISNUMBER(B114),ISNUMBER(D114)),1,0)</f>
        <v>0</v>
      </c>
      <c r="C120" s="164"/>
      <c r="D120" s="165">
        <f>IF(AND(D114&gt;B114,$AL93&gt;0,$AL92&gt;4,ISNUMBER(B114),ISNUMBER(D114)),1,0)</f>
        <v>0</v>
      </c>
      <c r="E120" s="164">
        <f>IF(AND(E114&gt;G114,$AL93&gt;1,$AL92&gt;4,ISNUMBER(E114),ISNUMBER(G114)),1,0)</f>
        <v>0</v>
      </c>
      <c r="F120" s="164"/>
      <c r="G120" s="165">
        <f>IF(AND(G114&gt;E114,$AL93&gt;1,$AL92&gt;4,ISNUMBER(E114),ISNUMBER(G114)),1,0)</f>
        <v>0</v>
      </c>
      <c r="H120" s="164">
        <f>IF(AND(H114&gt;J114,$AL93&gt;2,$AL92&gt;4,ISNUMBER(H114),ISNUMBER(J114)),1,0)</f>
        <v>0</v>
      </c>
      <c r="I120" s="164"/>
      <c r="J120" s="165">
        <f>IF(AND(J114&gt;H114,$AL93&gt;2,$AL92&gt;4,ISNUMBER(H114),ISNUMBER(J114)),1,0)</f>
        <v>0</v>
      </c>
      <c r="K120" s="168"/>
      <c r="L120" s="164">
        <f>IF(AND(L114&gt;N114,$AL93&gt;3,$AL92&gt;4,ISNUMBER(L114),ISNUMBER(N114)),1,0)</f>
        <v>0</v>
      </c>
      <c r="M120" s="164"/>
      <c r="N120" s="165">
        <f>IF(AND(N114&gt;L114,$AL93&gt;3,$AL92&gt;4,ISNUMBER(L114),ISNUMBER(N114)),1,0)</f>
        <v>0</v>
      </c>
      <c r="O120" s="164">
        <f>IF(AND(O114&gt;Q114,$AL93&gt;4,$AL92&gt;4,ISNUMBER(O114),ISNUMBER(Q114)),1,0)</f>
        <v>0</v>
      </c>
      <c r="P120" s="164"/>
      <c r="Q120" s="165">
        <f>IF(AND(Q114&gt;O114,$AL93&gt;4,$AL92&gt;4,ISNUMBER(O114),ISNUMBER(Q114)),1,0)</f>
        <v>0</v>
      </c>
      <c r="R120" s="164">
        <f>IF(AND(R114&gt;T114,$AL93&gt;5,$AL92&gt;4,ISNUMBER(R114),ISNUMBER(T114)),1,0)</f>
        <v>0</v>
      </c>
      <c r="S120" s="164"/>
      <c r="T120" s="165">
        <f>IF(AND(T114&gt;R114,$AL93&gt;5,$AL92&gt;4,ISNUMBER(R114),ISNUMBER(T114)),1,0)</f>
        <v>0</v>
      </c>
      <c r="U120" s="164">
        <f>IF(AND(U114&gt;W114,$AL93&gt;6,$AL92&gt;4,ISNUMBER(U114),ISNUMBER(W114)),1,0)</f>
        <v>0</v>
      </c>
      <c r="V120" s="164"/>
      <c r="W120" s="165">
        <f>IF(AND(W114&gt;U114,$AL93&gt;6,$AL92&gt;4,ISNUMBER(U114),ISNUMBER(W114)),1,0)</f>
        <v>0</v>
      </c>
      <c r="X120" s="164">
        <f>IF(AND(X114&gt;Z114,$AL93&gt;7,$AL92&gt;4,ISNUMBER(X114),ISNUMBER(Z114)),1,0)</f>
        <v>0</v>
      </c>
      <c r="Y120" s="164"/>
      <c r="Z120" s="165">
        <f>IF(AND(Z114&gt;X114,$AL93&gt;7,$AL92&gt;4,ISNUMBER(X114),ISNUMBER(Z114)),1,0)</f>
        <v>0</v>
      </c>
      <c r="AA120" s="164">
        <f>IF(AND(AA114&gt;AC114,$AL93&gt;8,$AL92&gt;4,ISNUMBER(AA114),ISNUMBER(AC114)),1,0)</f>
        <v>0</v>
      </c>
      <c r="AB120" s="164"/>
      <c r="AC120" s="165">
        <f>IF(AND(AC114&gt;AA114,$AL93&gt;8,$AL92&gt;4,ISNUMBER(AA114),ISNUMBER(AC114)),1,0)</f>
        <v>0</v>
      </c>
      <c r="AD120" s="164">
        <f>IF(AND(AD114&gt;AF114,$AL93&gt;9,$AL92&gt;4,ISNUMBER(AD114),ISNUMBER(AF114)),1,0)</f>
        <v>0</v>
      </c>
      <c r="AE120" s="164"/>
      <c r="AF120" s="165">
        <f>IF(AND(AF114&gt;AD114,$AL93&gt;9,$AL92&gt;4,ISNUMBER(AD114),ISNUMBER(AF114)),1,0)</f>
        <v>0</v>
      </c>
      <c r="AW120" s="166"/>
    </row>
    <row r="121" spans="1:49" s="115" customFormat="1" ht="38.25" hidden="1" customHeight="1">
      <c r="A121" s="167" t="s">
        <v>206</v>
      </c>
      <c r="B121" s="115">
        <f>SUM(B116:B120)</f>
        <v>2</v>
      </c>
      <c r="D121" s="168">
        <f>SUM(D116:D120)</f>
        <v>0</v>
      </c>
      <c r="E121" s="115">
        <f>SUM(E116:E120)</f>
        <v>0</v>
      </c>
      <c r="G121" s="168">
        <f>SUM(G116:G120)</f>
        <v>2</v>
      </c>
      <c r="H121" s="115">
        <f>SUM(H116:H120)</f>
        <v>2</v>
      </c>
      <c r="J121" s="168">
        <f>SUM(J116:J120)</f>
        <v>0</v>
      </c>
      <c r="K121" s="168"/>
      <c r="L121" s="115">
        <f>SUM(L116:L120)</f>
        <v>0</v>
      </c>
      <c r="N121" s="168">
        <f>SUM(N116:N120)</f>
        <v>2</v>
      </c>
      <c r="O121" s="115">
        <f>SUM(O116:O120)</f>
        <v>1</v>
      </c>
      <c r="Q121" s="168">
        <f>SUM(Q116:Q120)</f>
        <v>1</v>
      </c>
      <c r="R121" s="115">
        <f>SUM(R116:R120)</f>
        <v>0</v>
      </c>
      <c r="T121" s="168">
        <f>SUM(T116:T120)</f>
        <v>2</v>
      </c>
      <c r="U121" s="115">
        <f>SUM(U116:U120)</f>
        <v>0</v>
      </c>
      <c r="W121" s="168">
        <f>SUM(W116:W120)</f>
        <v>0</v>
      </c>
      <c r="X121" s="115">
        <f>SUM(X116:X120)</f>
        <v>0</v>
      </c>
      <c r="Z121" s="168">
        <f>SUM(Z116:Z120)</f>
        <v>0</v>
      </c>
      <c r="AA121" s="115">
        <f>SUM(AA116:AA120)</f>
        <v>0</v>
      </c>
      <c r="AC121" s="168">
        <f>SUM(AC116:AC120)</f>
        <v>0</v>
      </c>
      <c r="AD121" s="115">
        <f>SUM(AD116:AD120)</f>
        <v>0</v>
      </c>
      <c r="AF121" s="168">
        <f>SUM(AF116:AF120)</f>
        <v>0</v>
      </c>
      <c r="AW121" s="166"/>
    </row>
    <row r="122" spans="1:49" s="115" customFormat="1" ht="25.5" hidden="1" customHeight="1">
      <c r="A122" s="167" t="s">
        <v>207</v>
      </c>
      <c r="B122" s="115">
        <f>IF(B121&gt;D121,IF(C156=AL92,1,IF(C156=AL92-1,1,0)),0)</f>
        <v>1</v>
      </c>
      <c r="C122" s="115">
        <f>B122+D122</f>
        <v>1</v>
      </c>
      <c r="D122" s="168">
        <f>IF(D121&gt;B121,IF(C156=AL92,1,IF(C156=AL92-1,1,0)),0)</f>
        <v>0</v>
      </c>
      <c r="E122" s="115">
        <f>IF(E121&gt;G121,IF(F156=AL92,1,IF(F156=AL92-1,1,0)),0)</f>
        <v>0</v>
      </c>
      <c r="F122" s="115">
        <f>E122+G122</f>
        <v>1</v>
      </c>
      <c r="G122" s="168">
        <f>IF(G121&gt;E121,IF(F156=AL92,1,IF(F156=AL92-1,1,0)),0)</f>
        <v>1</v>
      </c>
      <c r="H122" s="115">
        <f>IF(H121&gt;J121,IF(I156=AL92,1,IF(I156=AL92-1,1,0)),0)</f>
        <v>1</v>
      </c>
      <c r="I122" s="115">
        <f>H122+J122</f>
        <v>1</v>
      </c>
      <c r="J122" s="168">
        <f>IF(J121&gt;H121,IF(I156=AL92,1,IF(I156=AL92-1,1,0)),0)</f>
        <v>0</v>
      </c>
      <c r="K122" s="168"/>
      <c r="L122" s="115">
        <f>IF(L121&gt;N121,IF(M156=AL92,1,IF(M156=AL92-1,1,0)),0)</f>
        <v>0</v>
      </c>
      <c r="M122" s="115">
        <f>L122+N122</f>
        <v>1</v>
      </c>
      <c r="N122" s="168">
        <f>IF(N121&gt;L121,IF(M156=AL92,1,IF(M156=AL92-1,1,0)),0)</f>
        <v>1</v>
      </c>
      <c r="O122" s="115">
        <f>IF(O121&gt;Q121,IF(P156=AL92,1,IF(P156=AL92-1,1,0)),0)</f>
        <v>0</v>
      </c>
      <c r="P122" s="115">
        <f>O122+Q122</f>
        <v>0</v>
      </c>
      <c r="Q122" s="168">
        <f>IF(Q121&gt;O121,IF(P156=AL92,1,IF(P156=AL92-1,1,0)),0)</f>
        <v>0</v>
      </c>
      <c r="R122" s="115">
        <f>IF(R121&gt;T121,IF(S156=AL92,1,IF(S156=AL92-1,1,0)),0)</f>
        <v>0</v>
      </c>
      <c r="S122" s="115">
        <f>R122+T122</f>
        <v>1</v>
      </c>
      <c r="T122" s="168">
        <f>IF(T121&gt;R121,IF(S156=AL92,1,IF(S156=AL92-1,1,0)),0)</f>
        <v>1</v>
      </c>
      <c r="U122" s="115">
        <f>IF(U121&gt;W121,IF(V156=AL92,1,IF(V156=AL92-1,1,0)),0)</f>
        <v>0</v>
      </c>
      <c r="V122" s="115">
        <f>U122+W122</f>
        <v>0</v>
      </c>
      <c r="W122" s="168">
        <f>IF(W121&gt;U121,IF(V156=AL92,1,IF(V156=AL92-1,1,0)),0)</f>
        <v>0</v>
      </c>
      <c r="X122" s="115">
        <f>IF(X121&gt;Z121,IF(Y156=AL92,1,IF(Y156=AL92-1,1,0)),0)</f>
        <v>0</v>
      </c>
      <c r="Y122" s="115">
        <f>X122+Z122</f>
        <v>0</v>
      </c>
      <c r="Z122" s="168">
        <f>IF(Z121&gt;X121,IF(Y156=AL92,1,IF(Y156=AL92-1,1,0)),0)</f>
        <v>0</v>
      </c>
      <c r="AA122" s="115">
        <f>IF(AA121&gt;AC121,IF(AB156=AL92,1,IF(AB156=AL92-1,1,0)),0)</f>
        <v>0</v>
      </c>
      <c r="AB122" s="115">
        <f>AA122+AC122</f>
        <v>0</v>
      </c>
      <c r="AC122" s="168">
        <f>IF(AC121&gt;AA121,IF(AB156=AL92,1,IF(AB156=AL92-1,1,0)),0)</f>
        <v>0</v>
      </c>
      <c r="AD122" s="115">
        <f>IF(AD121&gt;AF121,IF(AE156=AL92,1,IF(AE156=AL92-1,1,0)),0)</f>
        <v>0</v>
      </c>
      <c r="AE122" s="115">
        <f>AD122+AF122</f>
        <v>0</v>
      </c>
      <c r="AF122" s="168">
        <f>IF(AF121&gt;AD121,IF(AE156=AL92,1,IF(AE156=AL92-1,1,0)),0)</f>
        <v>0</v>
      </c>
      <c r="AW122" s="166"/>
    </row>
    <row r="123" spans="1:49" s="115" customFormat="1" ht="25.5" hidden="1" customHeight="1">
      <c r="A123" s="167"/>
      <c r="D123" s="168"/>
      <c r="G123" s="168"/>
      <c r="J123" s="168"/>
      <c r="K123" s="168"/>
      <c r="N123" s="168"/>
      <c r="Q123" s="168"/>
      <c r="T123" s="168"/>
      <c r="W123" s="168"/>
      <c r="Z123" s="168"/>
      <c r="AC123" s="168"/>
      <c r="AF123" s="168"/>
      <c r="AW123" s="166"/>
    </row>
    <row r="124" spans="1:49" s="115" customFormat="1" ht="12.75" hidden="1" customHeight="1">
      <c r="A124" s="115" t="s">
        <v>208</v>
      </c>
      <c r="B124" s="115">
        <f>IF(B116=1,B110,0)</f>
        <v>22</v>
      </c>
      <c r="D124" s="168">
        <f t="shared" ref="D124:E128" si="10">IF(D116=1,D110,0)</f>
        <v>0</v>
      </c>
      <c r="E124" s="115">
        <f t="shared" si="10"/>
        <v>0</v>
      </c>
      <c r="G124" s="168">
        <f t="shared" ref="G124:H128" si="11">IF(G116=1,G110,0)</f>
        <v>24</v>
      </c>
      <c r="H124" s="115">
        <f t="shared" si="11"/>
        <v>20</v>
      </c>
      <c r="J124" s="168">
        <f>IF(J116=1,J110,0)</f>
        <v>0</v>
      </c>
      <c r="K124" s="168"/>
      <c r="L124" s="115">
        <f>IF(L116=1,L110,0)</f>
        <v>0</v>
      </c>
      <c r="N124" s="168">
        <f t="shared" ref="N124:O128" si="12">IF(N116=1,N110,0)</f>
        <v>28</v>
      </c>
      <c r="O124" s="115">
        <f t="shared" si="12"/>
        <v>0</v>
      </c>
      <c r="Q124" s="168">
        <f t="shared" ref="Q124:R128" si="13">IF(Q116=1,Q110,0)</f>
        <v>17</v>
      </c>
      <c r="R124" s="115">
        <f t="shared" si="13"/>
        <v>0</v>
      </c>
      <c r="T124" s="168">
        <f t="shared" ref="T124:U128" si="14">IF(T116=1,T110,0)</f>
        <v>23</v>
      </c>
      <c r="U124" s="115">
        <f t="shared" si="14"/>
        <v>0</v>
      </c>
      <c r="W124" s="168">
        <f t="shared" ref="W124:X128" si="15">IF(W116=1,W110,0)</f>
        <v>0</v>
      </c>
      <c r="X124" s="115">
        <f t="shared" si="15"/>
        <v>0</v>
      </c>
      <c r="Z124" s="168">
        <f t="shared" ref="Z124:AA128" si="16">IF(Z116=1,Z110,0)</f>
        <v>0</v>
      </c>
      <c r="AA124" s="115">
        <f t="shared" si="16"/>
        <v>0</v>
      </c>
      <c r="AC124" s="168">
        <f t="shared" ref="AC124:AD128" si="17">IF(AC116=1,AC110,0)</f>
        <v>0</v>
      </c>
      <c r="AD124" s="115">
        <f t="shared" si="17"/>
        <v>0</v>
      </c>
      <c r="AF124" s="168">
        <f>IF(AF116=1,AF110,0)</f>
        <v>0</v>
      </c>
      <c r="AW124" s="166"/>
    </row>
    <row r="125" spans="1:49" s="115" customFormat="1" ht="12.75" hidden="1" customHeight="1">
      <c r="A125" s="115" t="s">
        <v>209</v>
      </c>
      <c r="B125" s="115">
        <f>IF(B117=1,B111,0)</f>
        <v>20</v>
      </c>
      <c r="D125" s="168">
        <f t="shared" si="10"/>
        <v>0</v>
      </c>
      <c r="E125" s="115">
        <f t="shared" si="10"/>
        <v>0</v>
      </c>
      <c r="G125" s="168">
        <f t="shared" si="11"/>
        <v>25</v>
      </c>
      <c r="H125" s="115">
        <f t="shared" si="11"/>
        <v>23</v>
      </c>
      <c r="J125" s="168">
        <f>IF(J117=1,J111,0)</f>
        <v>0</v>
      </c>
      <c r="K125" s="168"/>
      <c r="L125" s="115">
        <f>IF(L117=1,L111,0)</f>
        <v>0</v>
      </c>
      <c r="N125" s="168">
        <f t="shared" si="12"/>
        <v>26</v>
      </c>
      <c r="O125" s="115">
        <f t="shared" si="12"/>
        <v>20</v>
      </c>
      <c r="Q125" s="168">
        <f t="shared" si="13"/>
        <v>0</v>
      </c>
      <c r="R125" s="115">
        <f t="shared" si="13"/>
        <v>0</v>
      </c>
      <c r="T125" s="168">
        <f t="shared" si="14"/>
        <v>23</v>
      </c>
      <c r="U125" s="115">
        <f t="shared" si="14"/>
        <v>0</v>
      </c>
      <c r="W125" s="168">
        <f t="shared" si="15"/>
        <v>0</v>
      </c>
      <c r="X125" s="115">
        <f t="shared" si="15"/>
        <v>0</v>
      </c>
      <c r="Z125" s="168">
        <f t="shared" si="16"/>
        <v>0</v>
      </c>
      <c r="AA125" s="115">
        <f t="shared" si="16"/>
        <v>0</v>
      </c>
      <c r="AC125" s="168">
        <f t="shared" si="17"/>
        <v>0</v>
      </c>
      <c r="AD125" s="115">
        <f t="shared" si="17"/>
        <v>0</v>
      </c>
      <c r="AF125" s="168">
        <f>IF(AF117=1,AF111,0)</f>
        <v>0</v>
      </c>
      <c r="AW125" s="166"/>
    </row>
    <row r="126" spans="1:49" s="115" customFormat="1" ht="12.75" hidden="1" customHeight="1">
      <c r="A126" s="115" t="s">
        <v>210</v>
      </c>
      <c r="B126" s="115">
        <f>IF(B118=1,B112,0)</f>
        <v>0</v>
      </c>
      <c r="D126" s="168">
        <f t="shared" si="10"/>
        <v>0</v>
      </c>
      <c r="E126" s="115">
        <f t="shared" si="10"/>
        <v>0</v>
      </c>
      <c r="G126" s="168">
        <f t="shared" si="11"/>
        <v>0</v>
      </c>
      <c r="H126" s="115">
        <f t="shared" si="11"/>
        <v>0</v>
      </c>
      <c r="J126" s="168">
        <f>IF(J118=1,J112,0)</f>
        <v>0</v>
      </c>
      <c r="K126" s="168"/>
      <c r="L126" s="115">
        <f>IF(L118=1,L112,0)</f>
        <v>0</v>
      </c>
      <c r="N126" s="168">
        <f t="shared" si="12"/>
        <v>0</v>
      </c>
      <c r="O126" s="115">
        <f t="shared" si="12"/>
        <v>0</v>
      </c>
      <c r="Q126" s="168">
        <f t="shared" si="13"/>
        <v>0</v>
      </c>
      <c r="R126" s="115">
        <f t="shared" si="13"/>
        <v>0</v>
      </c>
      <c r="T126" s="168">
        <f t="shared" si="14"/>
        <v>0</v>
      </c>
      <c r="U126" s="115">
        <f t="shared" si="14"/>
        <v>0</v>
      </c>
      <c r="W126" s="168">
        <f t="shared" si="15"/>
        <v>0</v>
      </c>
      <c r="X126" s="115">
        <f t="shared" si="15"/>
        <v>0</v>
      </c>
      <c r="Z126" s="168">
        <f t="shared" si="16"/>
        <v>0</v>
      </c>
      <c r="AA126" s="115">
        <f t="shared" si="16"/>
        <v>0</v>
      </c>
      <c r="AC126" s="168">
        <f t="shared" si="17"/>
        <v>0</v>
      </c>
      <c r="AD126" s="115">
        <f t="shared" si="17"/>
        <v>0</v>
      </c>
      <c r="AF126" s="168">
        <f>IF(AF118=1,AF112,0)</f>
        <v>0</v>
      </c>
      <c r="AW126" s="166"/>
    </row>
    <row r="127" spans="1:49" s="115" customFormat="1" ht="12.75" hidden="1" customHeight="1">
      <c r="A127" s="115" t="s">
        <v>211</v>
      </c>
      <c r="B127" s="115">
        <f>IF(B119=1,B113,0)</f>
        <v>0</v>
      </c>
      <c r="D127" s="168">
        <f t="shared" si="10"/>
        <v>0</v>
      </c>
      <c r="E127" s="115">
        <f t="shared" si="10"/>
        <v>0</v>
      </c>
      <c r="G127" s="168">
        <f t="shared" si="11"/>
        <v>0</v>
      </c>
      <c r="H127" s="115">
        <f t="shared" si="11"/>
        <v>0</v>
      </c>
      <c r="J127" s="168">
        <f>IF(J119=1,J113,0)</f>
        <v>0</v>
      </c>
      <c r="K127" s="168"/>
      <c r="L127" s="115">
        <f>IF(L119=1,L113,0)</f>
        <v>0</v>
      </c>
      <c r="N127" s="168">
        <f t="shared" si="12"/>
        <v>0</v>
      </c>
      <c r="O127" s="115">
        <f t="shared" si="12"/>
        <v>0</v>
      </c>
      <c r="Q127" s="168">
        <f t="shared" si="13"/>
        <v>0</v>
      </c>
      <c r="R127" s="115">
        <f t="shared" si="13"/>
        <v>0</v>
      </c>
      <c r="T127" s="168">
        <f t="shared" si="14"/>
        <v>0</v>
      </c>
      <c r="U127" s="115">
        <f t="shared" si="14"/>
        <v>0</v>
      </c>
      <c r="W127" s="168">
        <f t="shared" si="15"/>
        <v>0</v>
      </c>
      <c r="X127" s="115">
        <f t="shared" si="15"/>
        <v>0</v>
      </c>
      <c r="Z127" s="168">
        <f t="shared" si="16"/>
        <v>0</v>
      </c>
      <c r="AA127" s="115">
        <f t="shared" si="16"/>
        <v>0</v>
      </c>
      <c r="AC127" s="168">
        <f t="shared" si="17"/>
        <v>0</v>
      </c>
      <c r="AD127" s="115">
        <f t="shared" si="17"/>
        <v>0</v>
      </c>
      <c r="AF127" s="168">
        <f>IF(AF119=1,AF113,0)</f>
        <v>0</v>
      </c>
      <c r="AW127" s="166"/>
    </row>
    <row r="128" spans="1:49" s="115" customFormat="1" ht="12.75" hidden="1" customHeight="1">
      <c r="A128" s="115" t="s">
        <v>212</v>
      </c>
      <c r="B128" s="115">
        <f>IF(B120=1,B114,0)</f>
        <v>0</v>
      </c>
      <c r="D128" s="168">
        <f t="shared" si="10"/>
        <v>0</v>
      </c>
      <c r="E128" s="115">
        <f t="shared" si="10"/>
        <v>0</v>
      </c>
      <c r="G128" s="168">
        <f t="shared" si="11"/>
        <v>0</v>
      </c>
      <c r="H128" s="115">
        <f t="shared" si="11"/>
        <v>0</v>
      </c>
      <c r="J128" s="168">
        <f>IF(J120=1,J114,0)</f>
        <v>0</v>
      </c>
      <c r="K128" s="168"/>
      <c r="L128" s="115">
        <f>IF(L120=1,L114,0)</f>
        <v>0</v>
      </c>
      <c r="N128" s="168">
        <f t="shared" si="12"/>
        <v>0</v>
      </c>
      <c r="O128" s="115">
        <f t="shared" si="12"/>
        <v>0</v>
      </c>
      <c r="Q128" s="168">
        <f t="shared" si="13"/>
        <v>0</v>
      </c>
      <c r="R128" s="115">
        <f t="shared" si="13"/>
        <v>0</v>
      </c>
      <c r="T128" s="168">
        <f t="shared" si="14"/>
        <v>0</v>
      </c>
      <c r="U128" s="115">
        <f t="shared" si="14"/>
        <v>0</v>
      </c>
      <c r="W128" s="168">
        <f t="shared" si="15"/>
        <v>0</v>
      </c>
      <c r="X128" s="115">
        <f t="shared" si="15"/>
        <v>0</v>
      </c>
      <c r="Z128" s="168">
        <f t="shared" si="16"/>
        <v>0</v>
      </c>
      <c r="AA128" s="115">
        <f t="shared" si="16"/>
        <v>0</v>
      </c>
      <c r="AC128" s="168">
        <f t="shared" si="17"/>
        <v>0</v>
      </c>
      <c r="AD128" s="115">
        <f t="shared" si="17"/>
        <v>0</v>
      </c>
      <c r="AF128" s="168">
        <f>IF(AF120=1,AF114,0)</f>
        <v>0</v>
      </c>
      <c r="AW128" s="166"/>
    </row>
    <row r="129" spans="1:49" s="115" customFormat="1" ht="38.25" hidden="1" customHeight="1">
      <c r="A129" s="167" t="s">
        <v>213</v>
      </c>
      <c r="B129" s="115">
        <f>SUM(B124:D128)</f>
        <v>42</v>
      </c>
      <c r="D129" s="168"/>
      <c r="E129" s="115">
        <f>SUM(E124:G128)</f>
        <v>49</v>
      </c>
      <c r="G129" s="168"/>
      <c r="H129" s="115">
        <f>SUM(H124:J128)</f>
        <v>43</v>
      </c>
      <c r="J129" s="168"/>
      <c r="K129" s="168"/>
      <c r="L129" s="115">
        <f>SUM(L124:N128)</f>
        <v>54</v>
      </c>
      <c r="N129" s="168"/>
      <c r="O129" s="115">
        <f>SUM(O124:Q128)</f>
        <v>37</v>
      </c>
      <c r="Q129" s="168"/>
      <c r="R129" s="115">
        <f>SUM(R124:T128)</f>
        <v>46</v>
      </c>
      <c r="T129" s="168"/>
      <c r="U129" s="115">
        <f>SUM(U124:W128)</f>
        <v>0</v>
      </c>
      <c r="W129" s="168"/>
      <c r="X129" s="115">
        <f>SUM(X124:Z128)</f>
        <v>0</v>
      </c>
      <c r="Z129" s="168"/>
      <c r="AA129" s="115">
        <f>SUM(AA124:AC128)</f>
        <v>0</v>
      </c>
      <c r="AC129" s="168"/>
      <c r="AD129" s="115">
        <f>SUM(AD124:AF128)</f>
        <v>0</v>
      </c>
      <c r="AF129" s="168"/>
      <c r="AW129" s="166"/>
    </row>
    <row r="130" spans="1:49" s="115" customFormat="1" ht="38.25" hidden="1" customHeight="1">
      <c r="A130" s="115" t="s">
        <v>214</v>
      </c>
      <c r="D130" s="168"/>
      <c r="G130" s="168"/>
      <c r="J130" s="168"/>
      <c r="K130" s="168"/>
      <c r="N130" s="168"/>
      <c r="Q130" s="168"/>
      <c r="T130" s="168"/>
      <c r="W130" s="168"/>
      <c r="Z130" s="168"/>
      <c r="AC130" s="168"/>
      <c r="AF130" s="168"/>
      <c r="AG130" s="167" t="s">
        <v>215</v>
      </c>
      <c r="AH130" s="115" t="s">
        <v>216</v>
      </c>
      <c r="AW130" s="166"/>
    </row>
    <row r="131" spans="1:49" s="115" customFormat="1" ht="12.75" hidden="1" customHeight="1">
      <c r="A131" s="115" t="s">
        <v>38</v>
      </c>
      <c r="B131" s="115">
        <f>IF(B109=1,IF(B122=1,1,0),0)</f>
        <v>0</v>
      </c>
      <c r="D131" s="168">
        <f>IF(D109=1,IF(D122=1,1,0),0)</f>
        <v>0</v>
      </c>
      <c r="E131" s="115">
        <f>IF(E109=1,IF(E122=1,1,0),0)</f>
        <v>0</v>
      </c>
      <c r="G131" s="168">
        <f>IF(G109=1,IF(G122=1,1,0),0)</f>
        <v>0</v>
      </c>
      <c r="H131" s="115">
        <f>IF(H109=1,IF(H122=1,1,0),0)</f>
        <v>0</v>
      </c>
      <c r="J131" s="168">
        <f>IF(J109=1,IF(J122=1,1,0),0)</f>
        <v>0</v>
      </c>
      <c r="K131" s="168"/>
      <c r="L131" s="115">
        <f>IF(L109=1,IF(L122=1,1,0),0)</f>
        <v>0</v>
      </c>
      <c r="N131" s="168">
        <f>IF(N109=1,IF(N122=1,1,0),0)</f>
        <v>0</v>
      </c>
      <c r="O131" s="115">
        <f>IF(O109=1,IF(O122=1,1,0),0)</f>
        <v>0</v>
      </c>
      <c r="Q131" s="168">
        <f>IF(Q109=1,IF(Q122=1,1,0),0)</f>
        <v>0</v>
      </c>
      <c r="R131" s="115">
        <f>IF(R109=1,IF(R122=1,1,0),0)</f>
        <v>0</v>
      </c>
      <c r="T131" s="168">
        <f>IF(T109=1,IF(T122=1,1,0),0)</f>
        <v>0</v>
      </c>
      <c r="U131" s="115">
        <f>IF(U109=1,IF(U122=1,1,0),0)</f>
        <v>0</v>
      </c>
      <c r="W131" s="168">
        <f>IF(W109=1,IF(W122=1,1,0),0)</f>
        <v>0</v>
      </c>
      <c r="X131" s="115">
        <f>IF(X109=1,IF(X122=1,1,0),0)</f>
        <v>0</v>
      </c>
      <c r="Z131" s="168">
        <f>IF(Z109=1,IF(Z122=1,1,0),0)</f>
        <v>0</v>
      </c>
      <c r="AA131" s="115">
        <f>IF(AA109=1,IF(AA122=1,1,0),0)</f>
        <v>0</v>
      </c>
      <c r="AC131" s="168">
        <f>IF(AC109=1,IF(AC122=1,1,0),0)</f>
        <v>0</v>
      </c>
      <c r="AD131" s="115">
        <f>IF(AD109=1,IF(AD122=1,1,0),0)</f>
        <v>0</v>
      </c>
      <c r="AF131" s="168">
        <f>IF(AF109=1,IF(AF122=1,1,0),0)</f>
        <v>0</v>
      </c>
      <c r="AG131" s="115">
        <f>SUM(B131:AF131)</f>
        <v>0</v>
      </c>
      <c r="AH131" s="115">
        <f>AG137-AG131</f>
        <v>3</v>
      </c>
      <c r="AW131" s="166"/>
    </row>
    <row r="132" spans="1:49" s="115" customFormat="1" ht="12.75" hidden="1" customHeight="1">
      <c r="A132" s="115" t="s">
        <v>39</v>
      </c>
      <c r="B132" s="115">
        <f>IF(B109=2,IF(B122=1,1,0),0)</f>
        <v>1</v>
      </c>
      <c r="D132" s="168">
        <f>IF(D109=2,IF(D122=1,1,0),0)</f>
        <v>0</v>
      </c>
      <c r="E132" s="115">
        <f>IF(E109=2,IF(E122=1,1,0),0)</f>
        <v>0</v>
      </c>
      <c r="G132" s="168">
        <f>IF(G109=2,IF(G122=1,1,0),0)</f>
        <v>0</v>
      </c>
      <c r="H132" s="115">
        <f>IF(H109=2,IF(H122=1,1,0),0)</f>
        <v>1</v>
      </c>
      <c r="J132" s="168">
        <f>IF(J109=2,IF(J122=1,1,0),0)</f>
        <v>0</v>
      </c>
      <c r="K132" s="168"/>
      <c r="L132" s="115">
        <f>IF(L109=2,IF(L122=1,1,0),0)</f>
        <v>0</v>
      </c>
      <c r="N132" s="168">
        <f>IF(N109=2,IF(N122=1,1,0),0)</f>
        <v>0</v>
      </c>
      <c r="O132" s="115">
        <f>IF(O109=2,IF(O122=1,1,0),0)</f>
        <v>0</v>
      </c>
      <c r="Q132" s="168">
        <f>IF(Q109=2,IF(Q122=1,1,0),0)</f>
        <v>0</v>
      </c>
      <c r="R132" s="115">
        <f>IF(R109=2,IF(R122=1,1,0),0)</f>
        <v>0</v>
      </c>
      <c r="T132" s="168">
        <f>IF(T109=2,IF(T122=1,1,0),0)</f>
        <v>1</v>
      </c>
      <c r="U132" s="115">
        <f>IF(U109=2,IF(U122=1,1,0),0)</f>
        <v>0</v>
      </c>
      <c r="W132" s="168">
        <f>IF(W109=2,IF(W122=1,1,0),0)</f>
        <v>0</v>
      </c>
      <c r="X132" s="115">
        <f>IF(X109=2,IF(X122=1,1,0),0)</f>
        <v>0</v>
      </c>
      <c r="Z132" s="168">
        <f>IF(Z109=2,IF(Z122=1,1,0),0)</f>
        <v>0</v>
      </c>
      <c r="AA132" s="115">
        <f>IF(AA109=2,IF(AA122=1,1,0),0)</f>
        <v>0</v>
      </c>
      <c r="AC132" s="168">
        <f>IF(AC109=2,IF(AC122=1,1,0),0)</f>
        <v>0</v>
      </c>
      <c r="AD132" s="115">
        <f>IF(AD109=2,IF(AD122=1,1,0),0)</f>
        <v>0</v>
      </c>
      <c r="AF132" s="168">
        <f>IF(AF109=2,IF(AF122=1,1,0),0)</f>
        <v>0</v>
      </c>
      <c r="AG132" s="115">
        <f>SUM(B132:AF132)</f>
        <v>3</v>
      </c>
      <c r="AH132" s="115">
        <f>AG138-AG132</f>
        <v>0</v>
      </c>
      <c r="AW132" s="166"/>
    </row>
    <row r="133" spans="1:49" s="115" customFormat="1" ht="12.75" hidden="1" customHeight="1">
      <c r="A133" s="115" t="s">
        <v>40</v>
      </c>
      <c r="B133" s="115">
        <f>IF(B109=3,IF(B122=1,1,0),0)</f>
        <v>0</v>
      </c>
      <c r="D133" s="168">
        <f>IF(D109=3,IF(D122=1,1,0),0)</f>
        <v>0</v>
      </c>
      <c r="E133" s="115">
        <f>IF(E109=3,IF(E122=1,1,0),0)</f>
        <v>0</v>
      </c>
      <c r="G133" s="168">
        <f>IF(G109=3,IF(G122=1,1,0),0)</f>
        <v>0</v>
      </c>
      <c r="H133" s="115">
        <f>IF(H109=3,IF(H122=1,1,0),0)</f>
        <v>0</v>
      </c>
      <c r="J133" s="168">
        <f>IF(J109=3,IF(J122=1,1,0),0)</f>
        <v>0</v>
      </c>
      <c r="K133" s="168"/>
      <c r="L133" s="115">
        <f>IF(L109=3,IF(L122=1,1,0),0)</f>
        <v>0</v>
      </c>
      <c r="N133" s="168">
        <f>IF(N109=3,IF(N122=1,1,0),0)</f>
        <v>1</v>
      </c>
      <c r="O133" s="115">
        <f>IF(O109=3,IF(O122=1,1,0),0)</f>
        <v>0</v>
      </c>
      <c r="Q133" s="168">
        <f>IF(Q109=3,IF(Q122=1,1,0),0)</f>
        <v>0</v>
      </c>
      <c r="R133" s="115">
        <f>IF(R109=3,IF(R122=1,1,0),0)</f>
        <v>0</v>
      </c>
      <c r="T133" s="168">
        <f>IF(T109=3,IF(T122=1,1,0),0)</f>
        <v>0</v>
      </c>
      <c r="U133" s="115">
        <f>IF(U109=3,IF(U122=1,1,0),0)</f>
        <v>0</v>
      </c>
      <c r="W133" s="168">
        <f>IF(W109=3,IF(W122=1,1,0),0)</f>
        <v>0</v>
      </c>
      <c r="X133" s="115">
        <f>IF(X109=3,IF(X122=1,1,0),0)</f>
        <v>0</v>
      </c>
      <c r="Z133" s="168">
        <f>IF(Z109=3,IF(Z122=1,1,0),0)</f>
        <v>0</v>
      </c>
      <c r="AA133" s="115">
        <f>IF(AA109=3,IF(AA122=1,1,0),0)</f>
        <v>0</v>
      </c>
      <c r="AC133" s="168">
        <f>IF(AC109=3,IF(AC122=1,1,0),0)</f>
        <v>0</v>
      </c>
      <c r="AD133" s="115">
        <f>IF(AD109=3,IF(AD122=1,1,0),0)</f>
        <v>0</v>
      </c>
      <c r="AF133" s="168">
        <f>IF(AF109=3,IF(AF122=1,1,0),0)</f>
        <v>0</v>
      </c>
      <c r="AG133" s="115">
        <f>SUM(B133:AF133)</f>
        <v>1</v>
      </c>
      <c r="AH133" s="115">
        <f>AG139-AG133</f>
        <v>1</v>
      </c>
      <c r="AW133" s="166"/>
    </row>
    <row r="134" spans="1:49" s="115" customFormat="1" ht="12.75" hidden="1" customHeight="1">
      <c r="A134" s="115" t="s">
        <v>41</v>
      </c>
      <c r="B134" s="115">
        <f>IF(B109=4,IF(B122=1,1,0),0)</f>
        <v>0</v>
      </c>
      <c r="D134" s="168">
        <f>IF(D109=4,IF(D122=1,1,0),0)</f>
        <v>0</v>
      </c>
      <c r="E134" s="115">
        <f>IF(E109=4,IF(E122=1,1,0),0)</f>
        <v>0</v>
      </c>
      <c r="G134" s="168">
        <f>IF(G109=4,IF(G122=1,1,0),0)</f>
        <v>1</v>
      </c>
      <c r="H134" s="115">
        <f>IF(H109=4,IF(H122=1,1,0),0)</f>
        <v>0</v>
      </c>
      <c r="J134" s="168">
        <f>IF(J109=4,IF(J122=1,1,0),0)</f>
        <v>0</v>
      </c>
      <c r="K134" s="168"/>
      <c r="L134" s="115">
        <f>IF(L109=4,IF(L122=1,1,0),0)</f>
        <v>0</v>
      </c>
      <c r="N134" s="168">
        <f>IF(N109=4,IF(N122=1,1,0),0)</f>
        <v>0</v>
      </c>
      <c r="O134" s="115">
        <f>IF(O109=4,IF(O122=1,1,0),0)</f>
        <v>0</v>
      </c>
      <c r="Q134" s="168">
        <f>IF(Q109=4,IF(Q122=1,1,0),0)</f>
        <v>0</v>
      </c>
      <c r="R134" s="115">
        <f>IF(R109=4,IF(R122=1,1,0),0)</f>
        <v>0</v>
      </c>
      <c r="T134" s="168">
        <f>IF(T109=4,IF(T122=1,1,0),0)</f>
        <v>0</v>
      </c>
      <c r="U134" s="115">
        <f>IF(U109=4,IF(U122=1,1,0),0)</f>
        <v>0</v>
      </c>
      <c r="W134" s="168">
        <f>IF(W109=4,IF(W122=1,1,0),0)</f>
        <v>0</v>
      </c>
      <c r="X134" s="115">
        <f>IF(X109=4,IF(X122=1,1,0),0)</f>
        <v>0</v>
      </c>
      <c r="Z134" s="168">
        <f>IF(Z109=4,IF(Z122=1,1,0),0)</f>
        <v>0</v>
      </c>
      <c r="AA134" s="115">
        <f>IF(AA109=4,IF(AA122=1,1,0),0)</f>
        <v>0</v>
      </c>
      <c r="AC134" s="168">
        <f>IF(AC109=4,IF(AC122=1,1,0),0)</f>
        <v>0</v>
      </c>
      <c r="AD134" s="115">
        <f>IF(AD109=4,IF(AD122=1,1,0),0)</f>
        <v>0</v>
      </c>
      <c r="AF134" s="168">
        <f>IF(AF109=4,IF(AF122=1,1,0),0)</f>
        <v>0</v>
      </c>
      <c r="AG134" s="115">
        <f>SUM(B134:AF134)</f>
        <v>1</v>
      </c>
      <c r="AH134" s="115">
        <f>AG140-AG134</f>
        <v>1</v>
      </c>
      <c r="AW134" s="166"/>
    </row>
    <row r="135" spans="1:49" s="115" customFormat="1" ht="12.75" hidden="1" customHeight="1">
      <c r="A135" s="115" t="s">
        <v>42</v>
      </c>
      <c r="B135" s="115">
        <f>IF(B109=5,IF(B122=1,1,0),0)</f>
        <v>0</v>
      </c>
      <c r="D135" s="168">
        <f>IF(D109=5,IF(D122=1,1,0),0)</f>
        <v>0</v>
      </c>
      <c r="E135" s="115">
        <f>IF(E109=5,IF(E122=1,1,0),0)</f>
        <v>0</v>
      </c>
      <c r="G135" s="168">
        <f>IF(G109=5,IF(G122=1,1,0),0)</f>
        <v>0</v>
      </c>
      <c r="H135" s="115">
        <f>IF(H109=5,IF(H122=1,1,0),0)</f>
        <v>0</v>
      </c>
      <c r="J135" s="168">
        <f>IF(J109=5,IF(J122=1,1,0),0)</f>
        <v>0</v>
      </c>
      <c r="K135" s="168"/>
      <c r="L135" s="115">
        <f>IF(L109=5,IF(L122=1,1,0),0)</f>
        <v>0</v>
      </c>
      <c r="N135" s="168">
        <f>IF(N109=5,IF(N122=1,1,0),0)</f>
        <v>0</v>
      </c>
      <c r="O135" s="115">
        <f>IF(O109=5,IF(O122=1,1,0),0)</f>
        <v>0</v>
      </c>
      <c r="Q135" s="168">
        <f>IF(Q109=5,IF(Q122=1,1,0),0)</f>
        <v>0</v>
      </c>
      <c r="R135" s="115">
        <f>IF(R109=5,IF(R122=1,1,0),0)</f>
        <v>0</v>
      </c>
      <c r="T135" s="168">
        <f>IF(T109=5,IF(T122=1,1,0),0)</f>
        <v>0</v>
      </c>
      <c r="U135" s="115">
        <f>IF(U109=5,IF(U122=1,1,0),0)</f>
        <v>0</v>
      </c>
      <c r="W135" s="168">
        <f>IF(W109=5,IF(W122=1,1,0),0)</f>
        <v>0</v>
      </c>
      <c r="X135" s="115">
        <f>IF(X109=5,IF(X122=1,1,0),0)</f>
        <v>0</v>
      </c>
      <c r="Z135" s="168">
        <f>IF(Z109=5,IF(Z122=1,1,0),0)</f>
        <v>0</v>
      </c>
      <c r="AA135" s="115">
        <f>IF(AA109=5,IF(AA122=1,1,0),0)</f>
        <v>0</v>
      </c>
      <c r="AC135" s="168">
        <f>IF(AC109=5,IF(AC122=1,1,0),0)</f>
        <v>0</v>
      </c>
      <c r="AD135" s="115">
        <f>IF(AD109=5,IF(AD122=1,1,0),0)</f>
        <v>0</v>
      </c>
      <c r="AF135" s="168">
        <f>IF(AF109=5,IF(AF122=1,1,0),0)</f>
        <v>0</v>
      </c>
      <c r="AG135" s="115">
        <f>SUM(B135:AF135)</f>
        <v>0</v>
      </c>
      <c r="AH135" s="115">
        <f>AG141-AG135</f>
        <v>0</v>
      </c>
      <c r="AW135" s="166"/>
    </row>
    <row r="136" spans="1:49" s="115" customFormat="1" ht="38.25" hidden="1" customHeight="1">
      <c r="A136" s="167"/>
      <c r="D136" s="168"/>
      <c r="G136" s="168"/>
      <c r="J136" s="168"/>
      <c r="K136" s="168"/>
      <c r="N136" s="168"/>
      <c r="Q136" s="168"/>
      <c r="T136" s="168"/>
      <c r="W136" s="168"/>
      <c r="Z136" s="168"/>
      <c r="AC136" s="168"/>
      <c r="AF136" s="168"/>
      <c r="AG136" s="167" t="s">
        <v>217</v>
      </c>
      <c r="AW136" s="166"/>
    </row>
    <row r="137" spans="1:49" s="115" customFormat="1" ht="12.75" hidden="1" customHeight="1">
      <c r="A137" s="115" t="s">
        <v>43</v>
      </c>
      <c r="B137" s="115">
        <f>IF(B109=1,IF(C122=1,1,0),0)</f>
        <v>0</v>
      </c>
      <c r="D137" s="168">
        <f>IF(D109=1,IF(C122=1,1,0),0)</f>
        <v>0</v>
      </c>
      <c r="E137" s="115">
        <f>IF(E109=1,IF(F122=1,1,0),0)</f>
        <v>1</v>
      </c>
      <c r="G137" s="168">
        <f>IF(G109=1,IF(F122=1,1,0),0)</f>
        <v>0</v>
      </c>
      <c r="H137" s="115">
        <f>IF(H109=1,IF(I122=1,1,0),0)</f>
        <v>0</v>
      </c>
      <c r="J137" s="168">
        <f>IF(J109=1,IF(I122=1,1,0),0)</f>
        <v>0</v>
      </c>
      <c r="K137" s="168"/>
      <c r="L137" s="115">
        <f>IF(L109=1,IF(M122=1,1,0),0)</f>
        <v>1</v>
      </c>
      <c r="N137" s="168">
        <f>IF(N109=1,IF(M122=1,1,0),0)</f>
        <v>0</v>
      </c>
      <c r="O137" s="115">
        <f>IF(O109=1,IF(P122=1,1,0),0)</f>
        <v>0</v>
      </c>
      <c r="Q137" s="168">
        <f>IF(Q109=1,IF(P122=1,1,0),0)</f>
        <v>0</v>
      </c>
      <c r="R137" s="115">
        <f>IF(R109=1,IF(S122=1,1,0),0)</f>
        <v>1</v>
      </c>
      <c r="T137" s="168">
        <f>IF(T109=1,IF(S122=1,1,0),0)</f>
        <v>0</v>
      </c>
      <c r="U137" s="115">
        <f>IF(U109=1,IF(V122=1,1,0),0)</f>
        <v>0</v>
      </c>
      <c r="W137" s="168">
        <f>IF(W109=1,IF(V122=1,1,0),0)</f>
        <v>0</v>
      </c>
      <c r="X137" s="115">
        <f>IF(X109=1,IF(Y122=1,1,0),0)</f>
        <v>0</v>
      </c>
      <c r="Z137" s="168">
        <f>IF(Z109=1,IF(Y122=1,1,0),0)</f>
        <v>0</v>
      </c>
      <c r="AA137" s="115">
        <f>IF(AA109=1,IF(AB122=1,1,0),0)</f>
        <v>0</v>
      </c>
      <c r="AC137" s="168">
        <f>IF(AC109=1,IF(AB122=1,1,0),0)</f>
        <v>0</v>
      </c>
      <c r="AD137" s="115">
        <f>IF(AD109=1,IF(AE122=1,1,0),0)</f>
        <v>0</v>
      </c>
      <c r="AF137" s="168">
        <f>IF(AF109=1,IF(AE122=1,1,0),0)</f>
        <v>0</v>
      </c>
      <c r="AG137" s="115">
        <f>SUM(B137:AF137)</f>
        <v>3</v>
      </c>
      <c r="AW137" s="166"/>
    </row>
    <row r="138" spans="1:49" s="115" customFormat="1" ht="12.75" hidden="1" customHeight="1">
      <c r="A138" s="115" t="s">
        <v>44</v>
      </c>
      <c r="B138" s="115">
        <f>IF(B109=2,IF(C122=1,1,0),0)</f>
        <v>1</v>
      </c>
      <c r="D138" s="168">
        <f>IF(D109=2,IF(C122=1,1,0),0)</f>
        <v>0</v>
      </c>
      <c r="E138" s="115">
        <f>IF(E109=2,IF(F122=1,1,0),0)</f>
        <v>0</v>
      </c>
      <c r="G138" s="168">
        <f>IF(G109=2,IF(F122=1,1,0),0)</f>
        <v>0</v>
      </c>
      <c r="H138" s="115">
        <f>IF(H109=2,IF(I122=1,1,0),0)</f>
        <v>1</v>
      </c>
      <c r="J138" s="168">
        <f>IF(J109=2,IF(I122=1,1,0),0)</f>
        <v>0</v>
      </c>
      <c r="K138" s="168"/>
      <c r="L138" s="115">
        <f>IF(L109=2,IF(M122=1,1,0),0)</f>
        <v>0</v>
      </c>
      <c r="N138" s="168">
        <f>IF(N109=2,IF(M122=1,1,0),0)</f>
        <v>0</v>
      </c>
      <c r="O138" s="115">
        <f>IF(O109=2,IF(P122=1,1,0),0)</f>
        <v>0</v>
      </c>
      <c r="Q138" s="168">
        <f>IF(Q109=2,IF(P122=1,1,0),0)</f>
        <v>0</v>
      </c>
      <c r="R138" s="115">
        <f>IF(R109=2,IF(S122=1,1,0),0)</f>
        <v>0</v>
      </c>
      <c r="T138" s="168">
        <f>IF(T109=2,IF(S122=1,1,0),0)</f>
        <v>1</v>
      </c>
      <c r="U138" s="115">
        <f>IF(U109=2,IF(V122=1,1,0),0)</f>
        <v>0</v>
      </c>
      <c r="W138" s="168">
        <f>IF(W109=2,IF(V122=1,1,0),0)</f>
        <v>0</v>
      </c>
      <c r="X138" s="115">
        <f>IF(X109=2,IF(Y122=1,1,0),0)</f>
        <v>0</v>
      </c>
      <c r="Z138" s="168">
        <f>IF(Z109=2,IF(Y122=1,1,0),0)</f>
        <v>0</v>
      </c>
      <c r="AA138" s="115">
        <f>IF(AA109=2,IF(AB122=1,1,0),0)</f>
        <v>0</v>
      </c>
      <c r="AC138" s="168">
        <f>IF(AC109=2,IF(AB122=1,1,0),0)</f>
        <v>0</v>
      </c>
      <c r="AD138" s="115">
        <f>IF(AD109=2,IF(AE122=1,1,0),0)</f>
        <v>0</v>
      </c>
      <c r="AF138" s="168">
        <f>IF(AF109=2,IF(AE122=1,1,0),0)</f>
        <v>0</v>
      </c>
      <c r="AG138" s="115">
        <f>SUM(B138:AF138)</f>
        <v>3</v>
      </c>
      <c r="AW138" s="166"/>
    </row>
    <row r="139" spans="1:49" s="115" customFormat="1" ht="12.75" hidden="1" customHeight="1">
      <c r="A139" s="115" t="s">
        <v>45</v>
      </c>
      <c r="B139" s="115">
        <f>IF(B109=3,IF(C122=1,1,0),0)</f>
        <v>0</v>
      </c>
      <c r="D139" s="168">
        <f>IF(D109=3,IF(C122=1,1,0),0)</f>
        <v>1</v>
      </c>
      <c r="E139" s="115">
        <f>IF(E109=3,IF(F122=1,1,0),0)</f>
        <v>0</v>
      </c>
      <c r="G139" s="168">
        <f>IF(G109=3,IF(F122=1,1,0),0)</f>
        <v>0</v>
      </c>
      <c r="H139" s="115">
        <f>IF(H109=3,IF(I122=1,1,0),0)</f>
        <v>0</v>
      </c>
      <c r="J139" s="168">
        <f>IF(J109=3,IF(I122=1,1,0),0)</f>
        <v>0</v>
      </c>
      <c r="K139" s="168"/>
      <c r="L139" s="115">
        <f>IF(L109=3,IF(M122=1,1,0),0)</f>
        <v>0</v>
      </c>
      <c r="N139" s="168">
        <f>IF(N109=3,IF(M122=1,1,0),0)</f>
        <v>1</v>
      </c>
      <c r="O139" s="115">
        <f>IF(O109=3,IF(P122=1,1,0),0)</f>
        <v>0</v>
      </c>
      <c r="Q139" s="168">
        <f>IF(Q109=3,IF(P122=1,1,0),0)</f>
        <v>0</v>
      </c>
      <c r="R139" s="115">
        <f>IF(R109=3,IF(S122=1,1,0),0)</f>
        <v>0</v>
      </c>
      <c r="T139" s="168">
        <f>IF(T109=3,IF(S122=1,1,0),0)</f>
        <v>0</v>
      </c>
      <c r="U139" s="115">
        <f>IF(U109=3,IF(V122=1,1,0),0)</f>
        <v>0</v>
      </c>
      <c r="W139" s="168">
        <f>IF(W109=3,IF(V122=1,1,0),0)</f>
        <v>0</v>
      </c>
      <c r="X139" s="115">
        <f>IF(X109=3,IF(Y122=1,1,0),0)</f>
        <v>0</v>
      </c>
      <c r="Z139" s="168">
        <f>IF(Z109=3,IF(Y122=1,1,0),0)</f>
        <v>0</v>
      </c>
      <c r="AA139" s="115">
        <f>IF(AA109=3,IF(AB122=1,1,0),0)</f>
        <v>0</v>
      </c>
      <c r="AC139" s="168">
        <f>IF(AC109=3,IF(AB122=1,1,0),0)</f>
        <v>0</v>
      </c>
      <c r="AD139" s="115">
        <f>IF(AD109=3,IF(AE122=1,1,0),0)</f>
        <v>0</v>
      </c>
      <c r="AF139" s="168">
        <f>IF(AF109=3,IF(AE122=1,1,0),0)</f>
        <v>0</v>
      </c>
      <c r="AG139" s="115">
        <f>SUM(B139:AF139)</f>
        <v>2</v>
      </c>
      <c r="AW139" s="166"/>
    </row>
    <row r="140" spans="1:49" s="115" customFormat="1" ht="12.75" hidden="1" customHeight="1">
      <c r="A140" s="115" t="s">
        <v>46</v>
      </c>
      <c r="B140" s="115">
        <f>IF(B109=4,IF(C122=1,1,0),0)</f>
        <v>0</v>
      </c>
      <c r="D140" s="168">
        <f>IF(D109=4,IF(C122=1,1,0),0)</f>
        <v>0</v>
      </c>
      <c r="E140" s="115">
        <f>IF(E109=4,IF(F122=1,1,0),0)</f>
        <v>0</v>
      </c>
      <c r="G140" s="168">
        <f>IF(G109=4,IF(F122=1,1,0),0)</f>
        <v>1</v>
      </c>
      <c r="H140" s="115">
        <f>IF(H109=4,IF(I122=1,1,0),0)</f>
        <v>0</v>
      </c>
      <c r="J140" s="168">
        <f>IF(J109=4,IF(I122=1,1,0),0)</f>
        <v>1</v>
      </c>
      <c r="K140" s="168"/>
      <c r="L140" s="115">
        <f>IF(L109=4,IF(M122=1,1,0),0)</f>
        <v>0</v>
      </c>
      <c r="N140" s="168">
        <f>IF(N109=4,IF(M122=1,1,0),0)</f>
        <v>0</v>
      </c>
      <c r="O140" s="115">
        <f>IF(O109=4,IF(P122=1,1,0),0)</f>
        <v>0</v>
      </c>
      <c r="Q140" s="168">
        <f>IF(Q109=4,IF(P122=1,1,0),0)</f>
        <v>0</v>
      </c>
      <c r="R140" s="115">
        <f>IF(R109=4,IF(S122=1,1,0),0)</f>
        <v>0</v>
      </c>
      <c r="T140" s="168">
        <f>IF(T109=4,IF(S122=1,1,0),0)</f>
        <v>0</v>
      </c>
      <c r="U140" s="115">
        <f>IF(U109=4,IF(V122=1,1,0),0)</f>
        <v>0</v>
      </c>
      <c r="W140" s="168">
        <f>IF(W109=4,IF(V122=1,1,0),0)</f>
        <v>0</v>
      </c>
      <c r="X140" s="115">
        <f>IF(X109=4,IF(Y122=1,1,0),0)</f>
        <v>0</v>
      </c>
      <c r="Z140" s="168">
        <f>IF(Z109=4,IF(Y122=1,1,0),0)</f>
        <v>0</v>
      </c>
      <c r="AA140" s="115">
        <f>IF(AA109=4,IF(AB122=1,1,0),0)</f>
        <v>0</v>
      </c>
      <c r="AC140" s="168">
        <f>IF(AC109=4,IF(AB122=1,1,0),0)</f>
        <v>0</v>
      </c>
      <c r="AD140" s="115">
        <f>IF(AD109=4,IF(AE122=1,1,0),0)</f>
        <v>0</v>
      </c>
      <c r="AF140" s="168">
        <f>IF(AF109=4,IF(AE122=1,1,0),0)</f>
        <v>0</v>
      </c>
      <c r="AG140" s="115">
        <f>SUM(B140:AF140)</f>
        <v>2</v>
      </c>
      <c r="AW140" s="166"/>
    </row>
    <row r="141" spans="1:49" s="115" customFormat="1" ht="12.75" hidden="1" customHeight="1">
      <c r="A141" s="115" t="s">
        <v>47</v>
      </c>
      <c r="B141" s="115">
        <f>IF(B109=5,IF(C122=1,1,0),0)</f>
        <v>0</v>
      </c>
      <c r="D141" s="168">
        <f>IF(D109=5,IF(C122=1,1,0),0)</f>
        <v>0</v>
      </c>
      <c r="E141" s="115">
        <f>IF(E109=5,IF(F122=1,1,0),0)</f>
        <v>0</v>
      </c>
      <c r="G141" s="168">
        <f>IF(G109=5,IF(F122=1,1,0),0)</f>
        <v>0</v>
      </c>
      <c r="H141" s="115">
        <f>IF(H109=5,IF(I122=1,1,0),0)</f>
        <v>0</v>
      </c>
      <c r="J141" s="168">
        <f>IF(J109=5,IF(I122=1,1,0),0)</f>
        <v>0</v>
      </c>
      <c r="K141" s="168"/>
      <c r="L141" s="115">
        <f>IF(L109=5,IF(M122=1,1,0),0)</f>
        <v>0</v>
      </c>
      <c r="N141" s="168">
        <f>IF(N109=5,IF(M122=1,1,0),0)</f>
        <v>0</v>
      </c>
      <c r="O141" s="115">
        <f>IF(O109=5,IF(P122=1,1,0),0)</f>
        <v>0</v>
      </c>
      <c r="Q141" s="168">
        <f>IF(Q109=5,IF(P122=1,1,0),0)</f>
        <v>0</v>
      </c>
      <c r="R141" s="115">
        <f>IF(R109=5,IF(S122=1,1,0),0)</f>
        <v>0</v>
      </c>
      <c r="T141" s="168">
        <f>IF(T109=5,IF(S122=1,1,0),0)</f>
        <v>0</v>
      </c>
      <c r="U141" s="115">
        <f>IF(U109=5,IF(V122=1,1,0),0)</f>
        <v>0</v>
      </c>
      <c r="W141" s="168">
        <f>IF(W109=5,IF(V122=1,1,0),0)</f>
        <v>0</v>
      </c>
      <c r="X141" s="115">
        <f>IF(X109=5,IF(Y122=1,1,0),0)</f>
        <v>0</v>
      </c>
      <c r="Z141" s="168">
        <f>IF(Z109=5,IF(Y122=1,1,0),0)</f>
        <v>0</v>
      </c>
      <c r="AA141" s="115">
        <f>IF(AA109=5,IF(AB122=1,1,0),0)</f>
        <v>0</v>
      </c>
      <c r="AC141" s="168">
        <f>IF(AC109=5,IF(AB122=1,1,0),0)</f>
        <v>0</v>
      </c>
      <c r="AD141" s="115">
        <f>IF(AD109=5,IF(AE122=1,1,0),0)</f>
        <v>0</v>
      </c>
      <c r="AF141" s="168">
        <f>IF(AF109=5,IF(AE122=1,1,0),0)</f>
        <v>0</v>
      </c>
      <c r="AG141" s="115">
        <f>SUM(B141:AF141)</f>
        <v>0</v>
      </c>
      <c r="AW141" s="166"/>
    </row>
    <row r="142" spans="1:49" s="115" customFormat="1" ht="38.25" hidden="1" customHeight="1">
      <c r="A142" s="167"/>
      <c r="D142" s="168"/>
      <c r="G142" s="168"/>
      <c r="J142" s="168"/>
      <c r="K142" s="168"/>
      <c r="N142" s="168"/>
      <c r="Q142" s="168"/>
      <c r="T142" s="168"/>
      <c r="W142" s="168"/>
      <c r="Z142" s="168"/>
      <c r="AC142" s="168"/>
      <c r="AF142" s="168"/>
      <c r="AG142" s="167" t="s">
        <v>218</v>
      </c>
      <c r="AH142" s="392"/>
      <c r="AI142" s="392"/>
      <c r="AJ142" s="392"/>
      <c r="AK142" s="392"/>
      <c r="AL142" s="392"/>
      <c r="AW142" s="166"/>
    </row>
    <row r="143" spans="1:49" s="115" customFormat="1" ht="12.75" hidden="1" customHeight="1">
      <c r="A143" s="115" t="s">
        <v>43</v>
      </c>
      <c r="B143" s="115">
        <f>IF(B109=1,B129,0)</f>
        <v>0</v>
      </c>
      <c r="D143" s="168">
        <f>IF(D109=1,B129,0)</f>
        <v>0</v>
      </c>
      <c r="E143" s="115">
        <f>IF(E109=1,E129,0)</f>
        <v>49</v>
      </c>
      <c r="G143" s="168">
        <f>IF(G109=1,E129,0)</f>
        <v>0</v>
      </c>
      <c r="H143" s="115">
        <f>IF(H109=1,H129,0)</f>
        <v>0</v>
      </c>
      <c r="J143" s="168">
        <f>IF(J109=1,H129,0)</f>
        <v>0</v>
      </c>
      <c r="K143" s="168"/>
      <c r="L143" s="115">
        <f>IF(L109=1,L129,0)</f>
        <v>54</v>
      </c>
      <c r="N143" s="168">
        <f>IF(N109=1,L129,0)</f>
        <v>0</v>
      </c>
      <c r="O143" s="115">
        <f>IF(O109=1,O129,0)</f>
        <v>0</v>
      </c>
      <c r="Q143" s="168">
        <f>IF(Q109=1,O129,0)</f>
        <v>0</v>
      </c>
      <c r="R143" s="115">
        <f>IF(R109=1,R129,0)</f>
        <v>46</v>
      </c>
      <c r="T143" s="168">
        <f>IF(T109=1,R129,0)</f>
        <v>0</v>
      </c>
      <c r="U143" s="115">
        <f>IF(U109=1,U129,0)</f>
        <v>0</v>
      </c>
      <c r="W143" s="168">
        <f>IF(W109=1,U129,0)</f>
        <v>0</v>
      </c>
      <c r="X143" s="115">
        <f>IF(X109=1,X129,0)</f>
        <v>0</v>
      </c>
      <c r="Z143" s="168">
        <f>IF(Z109=1,X129,0)</f>
        <v>0</v>
      </c>
      <c r="AA143" s="115">
        <f>IF(AA109=1,AA129,0)</f>
        <v>0</v>
      </c>
      <c r="AC143" s="168">
        <f>IF(AC109=1,AA129,0)</f>
        <v>0</v>
      </c>
      <c r="AD143" s="115">
        <f>IF(AD109=1,AD129,0)</f>
        <v>0</v>
      </c>
      <c r="AF143" s="168">
        <f>IF(AF109=1,AD129,0)</f>
        <v>0</v>
      </c>
      <c r="AG143" s="115">
        <f>SUM(B143:AF143)</f>
        <v>149</v>
      </c>
      <c r="AW143" s="166"/>
    </row>
    <row r="144" spans="1:49" s="115" customFormat="1" ht="12.75" hidden="1" customHeight="1">
      <c r="A144" s="115" t="s">
        <v>44</v>
      </c>
      <c r="B144" s="115">
        <f>IF(B109=2,B129,0)</f>
        <v>42</v>
      </c>
      <c r="D144" s="168">
        <f>IF(D109=2,B129,0)</f>
        <v>0</v>
      </c>
      <c r="E144" s="115">
        <f>IF(E109=2,E129,0)</f>
        <v>0</v>
      </c>
      <c r="G144" s="168">
        <f>IF(G109=2,E129,0)</f>
        <v>0</v>
      </c>
      <c r="H144" s="115">
        <f>IF(H109=2,H129,0)</f>
        <v>43</v>
      </c>
      <c r="J144" s="168">
        <f>IF(J109=2,H129,0)</f>
        <v>0</v>
      </c>
      <c r="K144" s="168"/>
      <c r="L144" s="115">
        <f>IF(L109=2,L129,0)</f>
        <v>0</v>
      </c>
      <c r="N144" s="168">
        <f>IF(N109=2,L129,0)</f>
        <v>0</v>
      </c>
      <c r="O144" s="115">
        <f>IF(O109=2,O129,0)</f>
        <v>0</v>
      </c>
      <c r="Q144" s="168">
        <f>IF(Q109=2,O129,0)</f>
        <v>0</v>
      </c>
      <c r="R144" s="115">
        <f>IF(R109=2,R129,0)</f>
        <v>0</v>
      </c>
      <c r="T144" s="168">
        <f>IF(T109=2,R129,0)</f>
        <v>46</v>
      </c>
      <c r="U144" s="115">
        <f>IF(U109=2,U129,0)</f>
        <v>0</v>
      </c>
      <c r="W144" s="168">
        <f>IF(W109=2,U129,0)</f>
        <v>0</v>
      </c>
      <c r="X144" s="115">
        <f>IF(X109=2,X129,0)</f>
        <v>0</v>
      </c>
      <c r="Z144" s="168">
        <f>IF(Z109=2,X129,0)</f>
        <v>0</v>
      </c>
      <c r="AA144" s="115">
        <f>IF(AA109=2,AA129,0)</f>
        <v>0</v>
      </c>
      <c r="AC144" s="168">
        <f>IF(AC109=2,AA129,0)</f>
        <v>0</v>
      </c>
      <c r="AD144" s="115">
        <f>IF(AD109=2,AD129,0)</f>
        <v>0</v>
      </c>
      <c r="AF144" s="168">
        <f>IF(AF109=2,AD129,0)</f>
        <v>0</v>
      </c>
      <c r="AG144" s="115">
        <f>SUM(B144:AF144)</f>
        <v>131</v>
      </c>
      <c r="AW144" s="166"/>
    </row>
    <row r="145" spans="1:49" s="115" customFormat="1" ht="12.75" hidden="1" customHeight="1">
      <c r="A145" s="115" t="s">
        <v>45</v>
      </c>
      <c r="B145" s="115">
        <f>IF(B109=3,B129,0)</f>
        <v>0</v>
      </c>
      <c r="D145" s="168">
        <f>IF(D109=3,B129,0)</f>
        <v>42</v>
      </c>
      <c r="E145" s="115">
        <f>IF(E109=3,E129,0)</f>
        <v>0</v>
      </c>
      <c r="G145" s="168">
        <f>IF(G109=3,E129,0)</f>
        <v>0</v>
      </c>
      <c r="H145" s="115">
        <f>IF(H109=3,H129,0)</f>
        <v>0</v>
      </c>
      <c r="J145" s="168">
        <f>IF(J109=3,H129,0)</f>
        <v>0</v>
      </c>
      <c r="K145" s="168"/>
      <c r="L145" s="115">
        <f>IF(L109=3,L129,0)</f>
        <v>0</v>
      </c>
      <c r="N145" s="168">
        <f>IF(N109=3,L129,0)</f>
        <v>54</v>
      </c>
      <c r="O145" s="115">
        <f>IF(O109=3,O129,0)</f>
        <v>37</v>
      </c>
      <c r="Q145" s="168">
        <f>IF(Q109=3,O129,0)</f>
        <v>0</v>
      </c>
      <c r="R145" s="115">
        <f>IF(R109=3,R129,0)</f>
        <v>0</v>
      </c>
      <c r="T145" s="168">
        <f>IF(T109=3,R129,0)</f>
        <v>0</v>
      </c>
      <c r="U145" s="115">
        <f>IF(U109=3,U129,0)</f>
        <v>0</v>
      </c>
      <c r="W145" s="168">
        <f>IF(W109=3,U129,0)</f>
        <v>0</v>
      </c>
      <c r="X145" s="115">
        <f>IF(X109=3,X129,0)</f>
        <v>0</v>
      </c>
      <c r="Z145" s="168">
        <f>IF(Z109=3,X129,0)</f>
        <v>0</v>
      </c>
      <c r="AA145" s="115">
        <f>IF(AA109=3,AA129,0)</f>
        <v>0</v>
      </c>
      <c r="AC145" s="168">
        <f>IF(AC109=3,AA129,0)</f>
        <v>0</v>
      </c>
      <c r="AD145" s="115">
        <f>IF(AD109=3,AD129,0)</f>
        <v>0</v>
      </c>
      <c r="AF145" s="168">
        <f>IF(AF109=3,AD129,0)</f>
        <v>0</v>
      </c>
      <c r="AG145" s="115">
        <f>SUM(B145:AF145)</f>
        <v>133</v>
      </c>
      <c r="AW145" s="166"/>
    </row>
    <row r="146" spans="1:49" s="115" customFormat="1" ht="12.75" hidden="1" customHeight="1">
      <c r="A146" s="115" t="s">
        <v>46</v>
      </c>
      <c r="B146" s="115">
        <f>IF(B109=4,B129,0)</f>
        <v>0</v>
      </c>
      <c r="D146" s="168">
        <f>IF(D109=4,B129,0)</f>
        <v>0</v>
      </c>
      <c r="E146" s="115">
        <f>IF(E109=4,E129,0)</f>
        <v>0</v>
      </c>
      <c r="G146" s="168">
        <f>IF(G109=4,E129,0)</f>
        <v>49</v>
      </c>
      <c r="H146" s="115">
        <f>IF(H109=4,H129,0)</f>
        <v>0</v>
      </c>
      <c r="J146" s="168">
        <f>IF(J109=4,H129,0)</f>
        <v>43</v>
      </c>
      <c r="K146" s="168"/>
      <c r="L146" s="115">
        <f>IF(L109=4,L129,0)</f>
        <v>0</v>
      </c>
      <c r="N146" s="168">
        <f>IF(N109=4,L129,0)</f>
        <v>0</v>
      </c>
      <c r="O146" s="115">
        <f>IF(O109=4,O129,0)</f>
        <v>0</v>
      </c>
      <c r="Q146" s="168">
        <f>IF(Q109=4,O129,0)</f>
        <v>37</v>
      </c>
      <c r="R146" s="115">
        <f>IF(R109=4,R129,0)</f>
        <v>0</v>
      </c>
      <c r="T146" s="168">
        <f>IF(T109=4,R129,0)</f>
        <v>0</v>
      </c>
      <c r="U146" s="115">
        <f>IF(U109=4,U129,0)</f>
        <v>0</v>
      </c>
      <c r="W146" s="168">
        <f>IF(W109=4,U129,0)</f>
        <v>0</v>
      </c>
      <c r="X146" s="115">
        <f>IF(X109=4,X129,0)</f>
        <v>0</v>
      </c>
      <c r="Z146" s="168">
        <f>IF(Z109=4,X129,0)</f>
        <v>0</v>
      </c>
      <c r="AA146" s="115">
        <f>IF(AA109=4,AA129,0)</f>
        <v>0</v>
      </c>
      <c r="AC146" s="168">
        <f>IF(AC109=4,AA129,0)</f>
        <v>0</v>
      </c>
      <c r="AD146" s="115">
        <f>IF(AD109=4,AD129,0)</f>
        <v>0</v>
      </c>
      <c r="AF146" s="168">
        <f>IF(AF109=4,AD129,0)</f>
        <v>0</v>
      </c>
      <c r="AG146" s="115">
        <f>SUM(B146:AF146)</f>
        <v>129</v>
      </c>
      <c r="AW146" s="166"/>
    </row>
    <row r="147" spans="1:49" s="115" customFormat="1" ht="12.75" hidden="1" customHeight="1">
      <c r="A147" s="115" t="s">
        <v>47</v>
      </c>
      <c r="B147" s="115">
        <f>IF(B109=5,B129,0)</f>
        <v>0</v>
      </c>
      <c r="D147" s="168">
        <f>IF(D109=5,B129,0)</f>
        <v>0</v>
      </c>
      <c r="E147" s="115">
        <f>IF(E109=5,E129,0)</f>
        <v>0</v>
      </c>
      <c r="G147" s="168">
        <f>IF(G109=5,E129,0)</f>
        <v>0</v>
      </c>
      <c r="H147" s="115">
        <f>IF(H109=5,H129,0)</f>
        <v>0</v>
      </c>
      <c r="J147" s="168">
        <f>IF(J109=5,H129,0)</f>
        <v>0</v>
      </c>
      <c r="K147" s="168"/>
      <c r="L147" s="115">
        <f>IF(L109=5,L129,0)</f>
        <v>0</v>
      </c>
      <c r="N147" s="168">
        <f>IF(N109=5,L129,0)</f>
        <v>0</v>
      </c>
      <c r="O147" s="115">
        <f>IF(O109=5,O129,0)</f>
        <v>0</v>
      </c>
      <c r="Q147" s="168">
        <f>IF(Q109=5,O129,0)</f>
        <v>0</v>
      </c>
      <c r="R147" s="115">
        <f>IF(R109=5,R129,0)</f>
        <v>0</v>
      </c>
      <c r="T147" s="168">
        <f>IF(T109=5,R129,0)</f>
        <v>0</v>
      </c>
      <c r="U147" s="115">
        <f>IF(U109=5,U129,0)</f>
        <v>0</v>
      </c>
      <c r="W147" s="168">
        <f>IF(W109=5,U129,0)</f>
        <v>0</v>
      </c>
      <c r="X147" s="115">
        <f>IF(X109=5,X129,0)</f>
        <v>0</v>
      </c>
      <c r="Z147" s="168">
        <f>IF(Z109=5,X129,0)</f>
        <v>0</v>
      </c>
      <c r="AA147" s="115">
        <f>IF(AA109=5,AA129,0)</f>
        <v>0</v>
      </c>
      <c r="AC147" s="168">
        <f>IF(AC109=5,AA129,0)</f>
        <v>0</v>
      </c>
      <c r="AD147" s="115">
        <f>IF(AD109=5,AD129,0)</f>
        <v>0</v>
      </c>
      <c r="AF147" s="168">
        <f>IF(AF109=5,AD129,0)</f>
        <v>0</v>
      </c>
      <c r="AG147" s="115">
        <f>SUM(B147:AF147)</f>
        <v>0</v>
      </c>
      <c r="AW147" s="166"/>
    </row>
    <row r="148" spans="1:49" s="115" customFormat="1" ht="38.25" hidden="1" customHeight="1">
      <c r="A148" s="115" t="s">
        <v>48</v>
      </c>
      <c r="D148" s="168"/>
      <c r="G148" s="168"/>
      <c r="J148" s="168"/>
      <c r="K148" s="168"/>
      <c r="N148" s="168"/>
      <c r="Q148" s="168"/>
      <c r="T148" s="168"/>
      <c r="W148" s="168"/>
      <c r="Z148" s="168"/>
      <c r="AC148" s="168"/>
      <c r="AF148" s="168"/>
      <c r="AG148" s="167" t="s">
        <v>219</v>
      </c>
      <c r="AH148" s="115" t="s">
        <v>220</v>
      </c>
      <c r="AW148" s="166"/>
    </row>
    <row r="149" spans="1:49" s="115" customFormat="1" ht="12.75" hidden="1" customHeight="1">
      <c r="A149" s="115" t="s">
        <v>38</v>
      </c>
      <c r="B149" s="115">
        <f>IF(B109=1,SUMIF(B116:B120,"&gt;0"),0)</f>
        <v>0</v>
      </c>
      <c r="D149" s="168">
        <f>IF(D109=1,SUMIF(D116:D120,"&gt;0"),0)</f>
        <v>0</v>
      </c>
      <c r="E149" s="115">
        <f>IF(E109=1,SUMIF(E116:E120,"&gt;0"),0)</f>
        <v>0</v>
      </c>
      <c r="G149" s="168">
        <f>IF(G109=1,SUMIF(G116:G120,"&gt;0"),0)</f>
        <v>0</v>
      </c>
      <c r="H149" s="115">
        <f>IF(H109=1,SUMIF(H116:H120,"&gt;0"),0)</f>
        <v>0</v>
      </c>
      <c r="J149" s="168">
        <f>IF(J109=1,SUMIF(J116:J120,"&gt;0"),0)</f>
        <v>0</v>
      </c>
      <c r="K149" s="168"/>
      <c r="L149" s="115">
        <f>IF(L109=1,SUMIF(L116:L120,"&gt;0"),0)</f>
        <v>0</v>
      </c>
      <c r="N149" s="168">
        <f>IF(N109=1,SUMIF(N116:N120,"&gt;0"),0)</f>
        <v>0</v>
      </c>
      <c r="O149" s="115">
        <f>IF(O109=1,SUMIF(O116:O120,"&gt;0"),0)</f>
        <v>0</v>
      </c>
      <c r="Q149" s="168">
        <f>IF(Q109=1,SUMIF(Q116:Q120,"&gt;0"),0)</f>
        <v>0</v>
      </c>
      <c r="R149" s="115">
        <f>IF(R109=1,SUMIF(R116:R120,"&gt;0"),0)</f>
        <v>0</v>
      </c>
      <c r="T149" s="168">
        <f>IF(T109=1,SUMIF(T116:T120,"&gt;0"),0)</f>
        <v>0</v>
      </c>
      <c r="U149" s="115">
        <f>IF(U109=1,SUMIF(U116:U120,"&gt;0"),0)</f>
        <v>0</v>
      </c>
      <c r="W149" s="168">
        <f>IF(W109=1,SUMIF(W116:W120,"&gt;0"),0)</f>
        <v>0</v>
      </c>
      <c r="X149" s="115">
        <f>IF(X109=1,SUMIF(X116:X120,"&gt;0"),0)</f>
        <v>0</v>
      </c>
      <c r="Z149" s="168">
        <f>IF(Z109=1,SUMIF(Z116:Z120,"&gt;0"),0)</f>
        <v>0</v>
      </c>
      <c r="AA149" s="115">
        <f>IF(AA109=1,SUMIF(AA116:AA120,"&gt;0"),0)</f>
        <v>0</v>
      </c>
      <c r="AC149" s="168">
        <f>IF(AC109=1,SUMIF(AC116:AC120,"&gt;0"),0)</f>
        <v>0</v>
      </c>
      <c r="AD149" s="115">
        <f>IF(AD109=1,SUMIF(AD116:AD120,"&gt;0"),0)</f>
        <v>0</v>
      </c>
      <c r="AF149" s="168">
        <f>IF(AF109=1,SUMIF(AF116:AF120,"&gt;0"),0)</f>
        <v>0</v>
      </c>
      <c r="AG149" s="115">
        <f>SUM(B149:AF149)</f>
        <v>0</v>
      </c>
      <c r="AH149" s="115">
        <f>AG157-AG149</f>
        <v>6</v>
      </c>
      <c r="AW149" s="166"/>
    </row>
    <row r="150" spans="1:49" s="115" customFormat="1" ht="12.75" hidden="1" customHeight="1">
      <c r="A150" s="115" t="s">
        <v>39</v>
      </c>
      <c r="B150" s="115">
        <f>IF(B109=2,SUMIF(B116:B120,"&gt;0"),0)</f>
        <v>2</v>
      </c>
      <c r="D150" s="168">
        <f>IF(D109=2,SUMIF(D116:D120,"&gt;0"),0)</f>
        <v>0</v>
      </c>
      <c r="E150" s="115">
        <f>IF(E109=2,SUMIF(E116:E120,"&gt;0"),0)</f>
        <v>0</v>
      </c>
      <c r="G150" s="168">
        <f>IF(G109=2,SUMIF(G116:G120,"&gt;0"),0)</f>
        <v>0</v>
      </c>
      <c r="H150" s="115">
        <f>IF(H109=2,SUMIF(H116:H120,"&gt;0"),0)</f>
        <v>2</v>
      </c>
      <c r="J150" s="168">
        <f>IF(J109=2,SUMIF(J116:J120,"&gt;0"),0)</f>
        <v>0</v>
      </c>
      <c r="K150" s="168"/>
      <c r="L150" s="115">
        <f>IF(L109=2,SUMIF(L116:L120,"&gt;0"),0)</f>
        <v>0</v>
      </c>
      <c r="N150" s="168">
        <f>IF(N109=2,SUMIF(N116:N120,"&gt;0"),0)</f>
        <v>0</v>
      </c>
      <c r="O150" s="115">
        <f>IF(O109=2,SUMIF(O116:O120,"&gt;0"),0)</f>
        <v>0</v>
      </c>
      <c r="Q150" s="168">
        <f>IF(Q109=2,SUMIF(Q116:Q120,"&gt;0"),0)</f>
        <v>0</v>
      </c>
      <c r="R150" s="115">
        <f>IF(R109=2,SUMIF(R116:R120,"&gt;0"),0)</f>
        <v>0</v>
      </c>
      <c r="T150" s="168">
        <f>IF(T109=2,SUMIF(T116:T120,"&gt;0"),0)</f>
        <v>2</v>
      </c>
      <c r="U150" s="115">
        <f>IF(U109=2,SUMIF(U116:U120,"&gt;0"),0)</f>
        <v>0</v>
      </c>
      <c r="W150" s="168">
        <f>IF(W109=2,SUMIF(W116:W120,"&gt;0"),0)</f>
        <v>0</v>
      </c>
      <c r="X150" s="115">
        <f>IF(X109=2,SUMIF(X116:X120,"&gt;0"),0)</f>
        <v>0</v>
      </c>
      <c r="Z150" s="168">
        <f>IF(Z109=2,SUMIF(Z116:Z120,"&gt;0"),0)</f>
        <v>0</v>
      </c>
      <c r="AA150" s="115">
        <f>IF(AA109=2,SUMIF(AA116:AA120,"&gt;0"),0)</f>
        <v>0</v>
      </c>
      <c r="AC150" s="168">
        <f>IF(AC109=2,SUMIF(AC116:AC120,"&gt;0"),0)</f>
        <v>0</v>
      </c>
      <c r="AD150" s="115">
        <f>IF(AD109=2,SUMIF(AD116:AD120,"&gt;0"),0)</f>
        <v>0</v>
      </c>
      <c r="AF150" s="168">
        <f>IF(AF109=2,SUMIF(AF116:AF120,"&gt;0"),0)</f>
        <v>0</v>
      </c>
      <c r="AG150" s="115">
        <f>SUM(B150:AF150)</f>
        <v>6</v>
      </c>
      <c r="AH150" s="115">
        <f>AG158-AG150</f>
        <v>0</v>
      </c>
      <c r="AW150" s="166"/>
    </row>
    <row r="151" spans="1:49" s="115" customFormat="1" ht="12.75" hidden="1" customHeight="1">
      <c r="A151" s="115" t="s">
        <v>40</v>
      </c>
      <c r="B151" s="115">
        <f>IF(B109=3,SUMIF(B116:B120,"&gt;0"),0)</f>
        <v>0</v>
      </c>
      <c r="D151" s="168">
        <f>IF(D109=3,SUMIF(D116:D120,"&gt;0"),0)</f>
        <v>0</v>
      </c>
      <c r="E151" s="115">
        <f>IF(E109=3,SUMIF(E116:E120,"&gt;0"),0)</f>
        <v>0</v>
      </c>
      <c r="G151" s="168">
        <f>IF(G109=3,SUMIF(G116:G120,"&gt;0"),0)</f>
        <v>0</v>
      </c>
      <c r="H151" s="115">
        <f>IF(H109=3,SUMIF(H116:H120,"&gt;0"),0)</f>
        <v>0</v>
      </c>
      <c r="J151" s="168">
        <f>IF(J109=3,SUMIF(J116:J120,"&gt;0"),0)</f>
        <v>0</v>
      </c>
      <c r="K151" s="168"/>
      <c r="L151" s="115">
        <f>IF(L109=3,SUMIF(L116:L120,"&gt;0"),0)</f>
        <v>0</v>
      </c>
      <c r="N151" s="168">
        <f>IF(N109=3,SUMIF(N116:N120,"&gt;0"),0)</f>
        <v>2</v>
      </c>
      <c r="O151" s="115">
        <f>IF(O109=3,SUMIF(O116:O120,"&gt;0"),0)</f>
        <v>1</v>
      </c>
      <c r="Q151" s="168">
        <f>IF(Q109=3,SUMIF(Q116:Q120,"&gt;0"),0)</f>
        <v>0</v>
      </c>
      <c r="R151" s="115">
        <f>IF(R109=3,SUMIF(R116:R120,"&gt;0"),0)</f>
        <v>0</v>
      </c>
      <c r="T151" s="168">
        <f>IF(T109=3,SUMIF(T116:T120,"&gt;0"),0)</f>
        <v>0</v>
      </c>
      <c r="U151" s="115">
        <f>IF(U109=3,SUMIF(U116:U120,"&gt;0"),0)</f>
        <v>0</v>
      </c>
      <c r="W151" s="168">
        <f>IF(W109=3,SUMIF(W116:W120,"&gt;0"),0)</f>
        <v>0</v>
      </c>
      <c r="X151" s="115">
        <f>IF(X109=3,SUMIF(X116:X120,"&gt;0"),0)</f>
        <v>0</v>
      </c>
      <c r="Z151" s="168">
        <f>IF(Z109=3,SUMIF(Z116:Z120,"&gt;0"),0)</f>
        <v>0</v>
      </c>
      <c r="AA151" s="115">
        <f>IF(AA109=3,SUMIF(AA116:AA120,"&gt;0"),0)</f>
        <v>0</v>
      </c>
      <c r="AC151" s="168">
        <f>IF(AC109=3,SUMIF(AC116:AC120,"&gt;0"),0)</f>
        <v>0</v>
      </c>
      <c r="AD151" s="115">
        <f>IF(AD109=3,SUMIF(AD116:AD120,"&gt;0"),0)</f>
        <v>0</v>
      </c>
      <c r="AF151" s="168">
        <f>IF(AF109=3,SUMIF(AF116:AF120,"&gt;0"),0)</f>
        <v>0</v>
      </c>
      <c r="AG151" s="115">
        <f>SUM(B151:AF151)</f>
        <v>3</v>
      </c>
      <c r="AH151" s="115">
        <f>AG159-AG151</f>
        <v>3</v>
      </c>
      <c r="AW151" s="166"/>
    </row>
    <row r="152" spans="1:49" s="115" customFormat="1" ht="12.75" hidden="1" customHeight="1">
      <c r="A152" s="115" t="s">
        <v>41</v>
      </c>
      <c r="B152" s="115">
        <f>IF(B109=4,SUMIF(B116:B120,"&gt;0"),0)</f>
        <v>0</v>
      </c>
      <c r="D152" s="168">
        <f>IF(D109=4,SUMIF(D116:D120,"&gt;0"),0)</f>
        <v>0</v>
      </c>
      <c r="E152" s="115">
        <f>IF(E109=4,SUMIF(E116:E120,"&gt;0"),0)</f>
        <v>0</v>
      </c>
      <c r="G152" s="168">
        <f>IF(G109=4,SUMIF(G116:G120,"&gt;0"),0)</f>
        <v>2</v>
      </c>
      <c r="H152" s="115">
        <f>IF(H109=4,SUMIF(H116:H120,"&gt;0"),0)</f>
        <v>0</v>
      </c>
      <c r="J152" s="168">
        <f>IF(J109=4,SUMIF(J116:J120,"&gt;0"),0)</f>
        <v>0</v>
      </c>
      <c r="K152" s="168"/>
      <c r="L152" s="115">
        <f>IF(L109=4,SUMIF(L116:L120,"&gt;0"),0)</f>
        <v>0</v>
      </c>
      <c r="N152" s="168">
        <f>IF(N109=4,SUMIF(N116:N120,"&gt;0"),0)</f>
        <v>0</v>
      </c>
      <c r="O152" s="115">
        <f>IF(O109=4,SUMIF(O116:O120,"&gt;0"),0)</f>
        <v>0</v>
      </c>
      <c r="Q152" s="168">
        <f>IF(Q109=4,SUMIF(Q116:Q120,"&gt;0"),0)</f>
        <v>1</v>
      </c>
      <c r="R152" s="115">
        <f>IF(R109=4,SUMIF(R116:R120,"&gt;0"),0)</f>
        <v>0</v>
      </c>
      <c r="T152" s="168">
        <f>IF(T109=4,SUMIF(T116:T120,"&gt;0"),0)</f>
        <v>0</v>
      </c>
      <c r="U152" s="115">
        <f>IF(U109=4,SUMIF(U116:U120,"&gt;0"),0)</f>
        <v>0</v>
      </c>
      <c r="W152" s="168">
        <f>IF(W109=4,SUMIF(W116:W120,"&gt;0"),0)</f>
        <v>0</v>
      </c>
      <c r="X152" s="115">
        <f>IF(X109=4,SUMIF(X116:X120,"&gt;0"),0)</f>
        <v>0</v>
      </c>
      <c r="Z152" s="168">
        <f>IF(Z109=4,SUMIF(Z116:Z120,"&gt;0"),0)</f>
        <v>0</v>
      </c>
      <c r="AA152" s="115">
        <f>IF(AA109=4,SUMIF(AA116:AA120,"&gt;0"),0)</f>
        <v>0</v>
      </c>
      <c r="AC152" s="168">
        <f>IF(AC109=4,SUMIF(AC116:AC120,"&gt;0"),0)</f>
        <v>0</v>
      </c>
      <c r="AD152" s="115">
        <f>IF(AD109=4,SUMIF(AD116:AD120,"&gt;0"),0)</f>
        <v>0</v>
      </c>
      <c r="AF152" s="168">
        <f>IF(AF109=4,SUMIF(AF116:AF120,"&gt;0"),0)</f>
        <v>0</v>
      </c>
      <c r="AG152" s="115">
        <f>SUM(B152:AF152)</f>
        <v>3</v>
      </c>
      <c r="AH152" s="115">
        <f>AG160-AG152</f>
        <v>3</v>
      </c>
      <c r="AW152" s="166"/>
    </row>
    <row r="153" spans="1:49" s="115" customFormat="1" ht="12.75" hidden="1" customHeight="1">
      <c r="A153" s="115" t="s">
        <v>42</v>
      </c>
      <c r="B153" s="115">
        <f>IF(B109=5,SUMIF(B116:B120,"&gt;0"),0)</f>
        <v>0</v>
      </c>
      <c r="D153" s="168">
        <f>IF(D109=5,SUMIF(D116:D120,"&gt;0"),0)</f>
        <v>0</v>
      </c>
      <c r="E153" s="115">
        <f>IF(E109=5,SUMIF(E116:E120,"&gt;0"),0)</f>
        <v>0</v>
      </c>
      <c r="G153" s="168">
        <f>IF(G109=5,SUMIF(G116:G120,"&gt;0"),0)</f>
        <v>0</v>
      </c>
      <c r="H153" s="115">
        <f>IF(H109=5,SUMIF(H116:H120,"&gt;0"),0)</f>
        <v>0</v>
      </c>
      <c r="J153" s="168">
        <f>IF(J109=5,SUMIF(J116:J120,"&gt;0"),0)</f>
        <v>0</v>
      </c>
      <c r="K153" s="168"/>
      <c r="L153" s="115">
        <f>IF(L109=5,SUMIF(L116:L120,"&gt;0"),0)</f>
        <v>0</v>
      </c>
      <c r="N153" s="168">
        <f>IF(N109=5,SUMIF(N116:N120,"&gt;0"),0)</f>
        <v>0</v>
      </c>
      <c r="O153" s="115">
        <f>IF(O109=5,SUMIF(O116:O120,"&gt;0"),0)</f>
        <v>0</v>
      </c>
      <c r="Q153" s="168">
        <f>IF(Q109=5,SUMIF(Q116:Q120,"&gt;0"),0)</f>
        <v>0</v>
      </c>
      <c r="R153" s="115">
        <f>IF(R109=5,SUMIF(R116:R120,"&gt;0"),0)</f>
        <v>0</v>
      </c>
      <c r="T153" s="168">
        <f>IF(T109=5,SUMIF(T116:T120,"&gt;0"),0)</f>
        <v>0</v>
      </c>
      <c r="U153" s="115">
        <f>IF(U109=5,SUMIF(U116:U120,"&gt;0"),0)</f>
        <v>0</v>
      </c>
      <c r="W153" s="168">
        <f>IF(W109=5,SUMIF(W116:W120,"&gt;0"),0)</f>
        <v>0</v>
      </c>
      <c r="X153" s="115">
        <f>IF(X109=5,SUMIF(X116:X120,"&gt;0"),0)</f>
        <v>0</v>
      </c>
      <c r="Z153" s="168">
        <f>IF(Z109=5,SUMIF(Z116:Z120,"&gt;0"),0)</f>
        <v>0</v>
      </c>
      <c r="AA153" s="115">
        <f>IF(AA109=5,SUMIF(AA116:AA120,"&gt;0"),0)</f>
        <v>0</v>
      </c>
      <c r="AC153" s="168">
        <f>IF(AC109=5,SUMIF(AC116:AC120,"&gt;0"),0)</f>
        <v>0</v>
      </c>
      <c r="AD153" s="115">
        <f>IF(AD109=5,SUMIF(AD116:AD120,"&gt;0"),0)</f>
        <v>0</v>
      </c>
      <c r="AF153" s="168">
        <f>IF(AF109=5,SUMIF(AF116:AF120,"&gt;0"),0)</f>
        <v>0</v>
      </c>
      <c r="AG153" s="115">
        <f>SUM(B153:AF153)</f>
        <v>0</v>
      </c>
      <c r="AH153" s="115">
        <f>AG161-AG153</f>
        <v>0</v>
      </c>
      <c r="AW153" s="166"/>
    </row>
    <row r="154" spans="1:49" s="115" customFormat="1" ht="12.75" hidden="1" customHeight="1">
      <c r="D154" s="168"/>
      <c r="G154" s="168"/>
      <c r="J154" s="168"/>
      <c r="K154" s="168"/>
      <c r="N154" s="168"/>
      <c r="Q154" s="168"/>
      <c r="T154" s="168"/>
      <c r="W154" s="168"/>
      <c r="Z154" s="168"/>
      <c r="AC154" s="168"/>
      <c r="AF154" s="168"/>
      <c r="AW154" s="166"/>
    </row>
    <row r="155" spans="1:49" s="115" customFormat="1" ht="12.75" hidden="1" customHeight="1">
      <c r="D155" s="168"/>
      <c r="G155" s="168"/>
      <c r="J155" s="168"/>
      <c r="K155" s="168"/>
      <c r="N155" s="168"/>
      <c r="Q155" s="168"/>
      <c r="T155" s="168"/>
      <c r="W155" s="168"/>
      <c r="Z155" s="168"/>
      <c r="AC155" s="168"/>
      <c r="AF155" s="168"/>
      <c r="AW155" s="166"/>
    </row>
    <row r="156" spans="1:49" s="115" customFormat="1" ht="51" hidden="1" customHeight="1">
      <c r="A156" s="167" t="s">
        <v>221</v>
      </c>
      <c r="C156" s="115">
        <f>SUMIF(B149:D153,"&gt;0")</f>
        <v>2</v>
      </c>
      <c r="D156" s="168"/>
      <c r="F156" s="115">
        <f>SUMIF(E149:G153,"&gt;0")</f>
        <v>2</v>
      </c>
      <c r="G156" s="168"/>
      <c r="I156" s="115">
        <f>SUMIF(H149:J153,"&gt;0")</f>
        <v>2</v>
      </c>
      <c r="J156" s="168"/>
      <c r="K156" s="168"/>
      <c r="M156" s="115">
        <f>SUMIF(L149:N153,"&gt;0")</f>
        <v>2</v>
      </c>
      <c r="N156" s="168"/>
      <c r="P156" s="115">
        <f>SUMIF(O149:Q153,"&gt;0")</f>
        <v>2</v>
      </c>
      <c r="Q156" s="168"/>
      <c r="S156" s="115">
        <f>SUMIF(R149:T153,"&gt;0")</f>
        <v>2</v>
      </c>
      <c r="T156" s="168"/>
      <c r="V156" s="115">
        <f>SUMIF(U149:W153,"&gt;0")</f>
        <v>0</v>
      </c>
      <c r="W156" s="168"/>
      <c r="Y156" s="115">
        <f>SUMIF(X149:Z153,"&gt;0")</f>
        <v>0</v>
      </c>
      <c r="Z156" s="168"/>
      <c r="AB156" s="115">
        <f>SUMIF(AA149:AC153,"&gt;0")</f>
        <v>0</v>
      </c>
      <c r="AC156" s="168"/>
      <c r="AE156" s="115">
        <f>SUMIF(AD149:AF153,"&gt;0")</f>
        <v>0</v>
      </c>
      <c r="AF156" s="168"/>
      <c r="AG156" s="167" t="s">
        <v>222</v>
      </c>
      <c r="AW156" s="166"/>
    </row>
    <row r="157" spans="1:49" s="115" customFormat="1" ht="12.75" hidden="1" customHeight="1">
      <c r="A157" s="115" t="s">
        <v>43</v>
      </c>
      <c r="B157" s="115">
        <f>IF(B109=1,C156,0)</f>
        <v>0</v>
      </c>
      <c r="D157" s="168">
        <f>IF(D109=1,C156,0)</f>
        <v>0</v>
      </c>
      <c r="E157" s="115">
        <f>IF(E109=1,F156,0)</f>
        <v>2</v>
      </c>
      <c r="G157" s="168">
        <f>IF(G109=1,F156,0)</f>
        <v>0</v>
      </c>
      <c r="H157" s="115">
        <f>IF(H109=1,I156,0)</f>
        <v>0</v>
      </c>
      <c r="J157" s="168">
        <f>IF(J109=1,I156,0)</f>
        <v>0</v>
      </c>
      <c r="K157" s="168"/>
      <c r="L157" s="115">
        <f>IF(L109=1,M156,0)</f>
        <v>2</v>
      </c>
      <c r="N157" s="168">
        <f>IF(N109=1,M156,0)</f>
        <v>0</v>
      </c>
      <c r="O157" s="115">
        <f>IF(O109=1,P156,0)</f>
        <v>0</v>
      </c>
      <c r="Q157" s="168">
        <f>IF(Q109=1,P156,0)</f>
        <v>0</v>
      </c>
      <c r="R157" s="115">
        <f>IF(R109=1,S156,0)</f>
        <v>2</v>
      </c>
      <c r="T157" s="168">
        <f>IF(T109=1,S156,0)</f>
        <v>0</v>
      </c>
      <c r="U157" s="115">
        <f>IF(U109=1,V156,0)</f>
        <v>0</v>
      </c>
      <c r="W157" s="168">
        <f>IF(W109=1,V156,0)</f>
        <v>0</v>
      </c>
      <c r="X157" s="115">
        <f>IF(X109=1,Y156,0)</f>
        <v>0</v>
      </c>
      <c r="Z157" s="168">
        <f>IF(Z109=1,Y156,0)</f>
        <v>0</v>
      </c>
      <c r="AA157" s="115">
        <f>IF(AA109=1,AB156,0)</f>
        <v>0</v>
      </c>
      <c r="AC157" s="168">
        <f>IF(AC109=1,AB156,0)</f>
        <v>0</v>
      </c>
      <c r="AD157" s="115">
        <f>IF(AD109=1,AE156,0)</f>
        <v>0</v>
      </c>
      <c r="AF157" s="168">
        <f>IF(AF109=1,AE156,0)</f>
        <v>0</v>
      </c>
      <c r="AG157" s="115">
        <f>SUM(B157:AF157)</f>
        <v>6</v>
      </c>
      <c r="AW157" s="166"/>
    </row>
    <row r="158" spans="1:49" s="115" customFormat="1" ht="12.75" hidden="1" customHeight="1">
      <c r="A158" s="115" t="s">
        <v>44</v>
      </c>
      <c r="B158" s="115">
        <f>IF(B109=2,C156,0)</f>
        <v>2</v>
      </c>
      <c r="D158" s="168">
        <f>IF(D109=2,C156,0)</f>
        <v>0</v>
      </c>
      <c r="E158" s="115">
        <f>IF(E109=2,F156,0)</f>
        <v>0</v>
      </c>
      <c r="G158" s="168">
        <f>IF(G109=2,F156,0)</f>
        <v>0</v>
      </c>
      <c r="H158" s="115">
        <f>IF(H109=2,I156,0)</f>
        <v>2</v>
      </c>
      <c r="J158" s="168">
        <f>IF(J109=2,I156,0)</f>
        <v>0</v>
      </c>
      <c r="K158" s="168"/>
      <c r="L158" s="115">
        <f>IF(L109=2,M156,0)</f>
        <v>0</v>
      </c>
      <c r="N158" s="168">
        <f>IF(N109=2,M156,0)</f>
        <v>0</v>
      </c>
      <c r="O158" s="115">
        <f>IF(O109=2,P156,0)</f>
        <v>0</v>
      </c>
      <c r="Q158" s="168">
        <f>IF(Q109=2,P156,0)</f>
        <v>0</v>
      </c>
      <c r="R158" s="115">
        <f>IF(R109=2,S156,0)</f>
        <v>0</v>
      </c>
      <c r="T158" s="168">
        <f>IF(T109=2,S156,0)</f>
        <v>2</v>
      </c>
      <c r="U158" s="115">
        <f>IF(U109=2,V156,0)</f>
        <v>0</v>
      </c>
      <c r="W158" s="168">
        <f>IF(W109=2,V156,0)</f>
        <v>0</v>
      </c>
      <c r="X158" s="115">
        <f>IF(X109=2,Y156,0)</f>
        <v>0</v>
      </c>
      <c r="Z158" s="168">
        <f>IF(Z109=2,Y156,0)</f>
        <v>0</v>
      </c>
      <c r="AA158" s="115">
        <f>IF(AA109=2,AB156,0)</f>
        <v>0</v>
      </c>
      <c r="AC158" s="168">
        <f>IF(AC109=2,AB156,0)</f>
        <v>0</v>
      </c>
      <c r="AD158" s="115">
        <f>IF(AD109=2,AE156,0)</f>
        <v>0</v>
      </c>
      <c r="AF158" s="168">
        <f>IF(AF109=2,AE156,0)</f>
        <v>0</v>
      </c>
      <c r="AG158" s="115">
        <f>SUM(B158:AF158)</f>
        <v>6</v>
      </c>
      <c r="AW158" s="166"/>
    </row>
    <row r="159" spans="1:49" s="115" customFormat="1" ht="12.75" hidden="1" customHeight="1">
      <c r="A159" s="115" t="s">
        <v>45</v>
      </c>
      <c r="B159" s="115">
        <f>IF(B109=3,C156,0)</f>
        <v>0</v>
      </c>
      <c r="D159" s="168">
        <f>IF(D109=3,C156,0)</f>
        <v>2</v>
      </c>
      <c r="E159" s="115">
        <f>IF(E109=3,F156,0)</f>
        <v>0</v>
      </c>
      <c r="G159" s="168">
        <f>IF(G109=3,F156,0)</f>
        <v>0</v>
      </c>
      <c r="H159" s="115">
        <f>IF(H109=3,I156,0)</f>
        <v>0</v>
      </c>
      <c r="J159" s="168">
        <f>IF(J109=3,I156,0)</f>
        <v>0</v>
      </c>
      <c r="K159" s="168"/>
      <c r="L159" s="115">
        <f>IF(L109=3,M156,0)</f>
        <v>0</v>
      </c>
      <c r="N159" s="168">
        <f>IF(N109=3,M156,0)</f>
        <v>2</v>
      </c>
      <c r="O159" s="115">
        <f>IF(O109=3,P156,0)</f>
        <v>2</v>
      </c>
      <c r="Q159" s="168">
        <f>IF(Q109=3,P156,0)</f>
        <v>0</v>
      </c>
      <c r="R159" s="115">
        <f>IF(R109=3,S156,0)</f>
        <v>0</v>
      </c>
      <c r="T159" s="168">
        <f>IF(T109=3,S156,0)</f>
        <v>0</v>
      </c>
      <c r="U159" s="115">
        <f>IF(U109=3,V156,0)</f>
        <v>0</v>
      </c>
      <c r="W159" s="168">
        <f>IF(W109=3,V156,0)</f>
        <v>0</v>
      </c>
      <c r="X159" s="115">
        <f>IF(X109=3,Y156,0)</f>
        <v>0</v>
      </c>
      <c r="Z159" s="168">
        <f>IF(Z109=3,Y156,0)</f>
        <v>0</v>
      </c>
      <c r="AA159" s="115">
        <f>IF(AA109=3,AB156,0)</f>
        <v>0</v>
      </c>
      <c r="AC159" s="168">
        <f>IF(AC109=3,AB156,0)</f>
        <v>0</v>
      </c>
      <c r="AD159" s="115">
        <f>IF(AD109=3,AE156,0)</f>
        <v>0</v>
      </c>
      <c r="AF159" s="168">
        <f>IF(AF109=3,AE156,0)</f>
        <v>0</v>
      </c>
      <c r="AG159" s="115">
        <f>SUM(B159:AF159)</f>
        <v>6</v>
      </c>
      <c r="AW159" s="166"/>
    </row>
    <row r="160" spans="1:49" s="115" customFormat="1" ht="12.75" hidden="1" customHeight="1">
      <c r="A160" s="115" t="s">
        <v>46</v>
      </c>
      <c r="B160" s="115">
        <f>IF(B109=4,C156,0)</f>
        <v>0</v>
      </c>
      <c r="D160" s="168">
        <f>IF(D109=4,C156,0)</f>
        <v>0</v>
      </c>
      <c r="E160" s="115">
        <f>IF(E109=4,F156,0)</f>
        <v>0</v>
      </c>
      <c r="G160" s="168">
        <f>IF(G109=4,F156,0)</f>
        <v>2</v>
      </c>
      <c r="H160" s="115">
        <f>IF(H109=4,I156,0)</f>
        <v>0</v>
      </c>
      <c r="J160" s="168">
        <f>IF(J109=4,I156,0)</f>
        <v>2</v>
      </c>
      <c r="K160" s="168"/>
      <c r="L160" s="115">
        <f>IF(L109=4,M156,0)</f>
        <v>0</v>
      </c>
      <c r="N160" s="168">
        <f>IF(N109=4,M156,0)</f>
        <v>0</v>
      </c>
      <c r="O160" s="115">
        <f>IF(O109=4,P156,0)</f>
        <v>0</v>
      </c>
      <c r="Q160" s="168">
        <f>IF(Q109=4,P156,0)</f>
        <v>2</v>
      </c>
      <c r="R160" s="115">
        <f>IF(R109=4,S156,0)</f>
        <v>0</v>
      </c>
      <c r="T160" s="168">
        <f>IF(T109=4,S156,0)</f>
        <v>0</v>
      </c>
      <c r="U160" s="115">
        <f>IF(U109=4,V156,0)</f>
        <v>0</v>
      </c>
      <c r="W160" s="168">
        <f>IF(W109=4,V156,0)</f>
        <v>0</v>
      </c>
      <c r="X160" s="115">
        <f>IF(X109=4,Y156,0)</f>
        <v>0</v>
      </c>
      <c r="Z160" s="168">
        <f>IF(Z109=4,Y156,0)</f>
        <v>0</v>
      </c>
      <c r="AA160" s="115">
        <f>IF(AA109=4,AB156,0)</f>
        <v>0</v>
      </c>
      <c r="AC160" s="168">
        <f>IF(AC109=4,AB156,0)</f>
        <v>0</v>
      </c>
      <c r="AD160" s="115">
        <f>IF(AD109=4,AE156,0)</f>
        <v>0</v>
      </c>
      <c r="AF160" s="168">
        <f>IF(AF109=4,AE156,0)</f>
        <v>0</v>
      </c>
      <c r="AG160" s="115">
        <f>SUM(B160:AF160)</f>
        <v>6</v>
      </c>
      <c r="AW160" s="166"/>
    </row>
    <row r="161" spans="1:81" s="115" customFormat="1" ht="12.75" hidden="1" customHeight="1">
      <c r="A161" s="115" t="s">
        <v>47</v>
      </c>
      <c r="B161" s="115">
        <f>IF(B109=5,C156,0)</f>
        <v>0</v>
      </c>
      <c r="D161" s="168">
        <f>IF(D109=5,C156,0)</f>
        <v>0</v>
      </c>
      <c r="E161" s="115">
        <f>IF(E109=5,F156,0)</f>
        <v>0</v>
      </c>
      <c r="G161" s="168">
        <f>IF(G109=5,F156,0)</f>
        <v>0</v>
      </c>
      <c r="H161" s="115">
        <f>IF(H109=5,I156,0)</f>
        <v>0</v>
      </c>
      <c r="J161" s="168">
        <f>IF(J109=5,I156,0)</f>
        <v>0</v>
      </c>
      <c r="K161" s="168"/>
      <c r="L161" s="115">
        <f>IF(L109=5,M156,0)</f>
        <v>0</v>
      </c>
      <c r="N161" s="168">
        <f>IF(N109=5,M156,0)</f>
        <v>0</v>
      </c>
      <c r="O161" s="115">
        <f>IF(O109=5,P156,0)</f>
        <v>0</v>
      </c>
      <c r="Q161" s="168">
        <f>IF(Q109=5,P156,0)</f>
        <v>0</v>
      </c>
      <c r="R161" s="115">
        <f>IF(R109=5,S156,0)</f>
        <v>0</v>
      </c>
      <c r="T161" s="168">
        <f>IF(T109=5,S156,0)</f>
        <v>0</v>
      </c>
      <c r="U161" s="115">
        <f>IF(U109=5,V156,0)</f>
        <v>0</v>
      </c>
      <c r="W161" s="168">
        <f>IF(W109=5,V156,0)</f>
        <v>0</v>
      </c>
      <c r="X161" s="115">
        <f>IF(X109=5,Y156,0)</f>
        <v>0</v>
      </c>
      <c r="Z161" s="168">
        <f>IF(Z109=5,Y156,0)</f>
        <v>0</v>
      </c>
      <c r="AA161" s="115">
        <f>IF(AA109=5,AB156,0)</f>
        <v>0</v>
      </c>
      <c r="AC161" s="168">
        <f>IF(AC109=5,AB156,0)</f>
        <v>0</v>
      </c>
      <c r="AD161" s="115">
        <f>IF(AD109=5,AE156,0)</f>
        <v>0</v>
      </c>
      <c r="AF161" s="168">
        <f>IF(AF109=5,AE156,0)</f>
        <v>0</v>
      </c>
      <c r="AG161" s="115">
        <f>SUM(B161:AF161)</f>
        <v>0</v>
      </c>
      <c r="AW161" s="166"/>
    </row>
    <row r="162" spans="1:81" hidden="1">
      <c r="A162" s="219"/>
      <c r="B162" s="219"/>
      <c r="C162" s="219"/>
      <c r="D162" s="219"/>
      <c r="E162" s="219"/>
      <c r="F162" s="219"/>
      <c r="G162" s="219"/>
      <c r="H162" s="219"/>
      <c r="I162" s="219"/>
      <c r="J162" s="219"/>
      <c r="K162" s="219"/>
      <c r="L162" s="219"/>
      <c r="M162" s="219"/>
      <c r="N162" s="219"/>
      <c r="O162" s="219"/>
      <c r="P162" s="219"/>
      <c r="Q162" s="219"/>
      <c r="R162" s="219"/>
      <c r="S162" s="219"/>
      <c r="T162" s="219"/>
      <c r="U162" s="219"/>
      <c r="V162" s="219"/>
      <c r="W162" s="219"/>
      <c r="X162" s="219"/>
      <c r="Y162" s="219"/>
      <c r="Z162" s="219"/>
      <c r="AA162" s="219"/>
      <c r="AB162" s="219"/>
      <c r="AC162" s="219"/>
      <c r="AD162" s="219"/>
      <c r="AE162" s="219"/>
      <c r="AF162" s="219"/>
      <c r="AG162" s="219"/>
      <c r="AH162" s="219"/>
      <c r="AI162" s="219"/>
      <c r="AJ162" s="219"/>
      <c r="AK162" s="219"/>
      <c r="AL162" s="219"/>
      <c r="AM162" s="219"/>
      <c r="AN162" s="219"/>
      <c r="AO162" s="220"/>
      <c r="AP162" s="220"/>
      <c r="AQ162" s="220"/>
      <c r="AR162" s="220"/>
      <c r="AS162" s="117"/>
      <c r="AT162" s="117"/>
      <c r="AU162" s="117"/>
      <c r="AV162" s="117"/>
      <c r="BB162" s="39"/>
      <c r="BE162" s="39"/>
      <c r="BH162" s="39"/>
      <c r="BK162" s="39"/>
      <c r="BN162" s="39"/>
      <c r="BQ162" s="39"/>
      <c r="BT162" s="39"/>
      <c r="BW162" s="39"/>
      <c r="BZ162" s="39"/>
      <c r="CC162" s="39"/>
    </row>
    <row r="163" spans="1:81" s="117" customFormat="1" hidden="1">
      <c r="A163" s="34"/>
      <c r="B163" s="34"/>
      <c r="C163" s="34" t="s">
        <v>223</v>
      </c>
      <c r="D163" s="34">
        <v>1</v>
      </c>
      <c r="E163" s="34"/>
      <c r="F163" s="34"/>
      <c r="G163" s="34">
        <v>2</v>
      </c>
      <c r="H163" s="34"/>
      <c r="I163" s="34"/>
      <c r="J163" s="34">
        <v>3</v>
      </c>
      <c r="K163" s="34"/>
      <c r="L163" s="34"/>
      <c r="M163" s="34"/>
      <c r="N163" s="34">
        <v>4</v>
      </c>
      <c r="O163" s="34"/>
      <c r="P163" s="34"/>
      <c r="Q163" s="34">
        <v>5</v>
      </c>
      <c r="R163" s="34"/>
      <c r="S163" s="34"/>
      <c r="T163" s="34">
        <v>6</v>
      </c>
      <c r="U163" s="34"/>
      <c r="V163" s="34"/>
      <c r="W163" s="34">
        <v>7</v>
      </c>
      <c r="X163" s="34"/>
      <c r="Y163" s="34"/>
      <c r="Z163" s="34">
        <v>8</v>
      </c>
      <c r="AA163" s="34"/>
      <c r="AB163" s="34"/>
      <c r="AC163" s="34">
        <v>9</v>
      </c>
      <c r="AD163" s="34"/>
      <c r="AE163" s="34"/>
      <c r="AF163" s="34">
        <v>10</v>
      </c>
      <c r="AG163" s="3"/>
      <c r="AH163" s="34"/>
      <c r="AJ163" s="169"/>
      <c r="AK163" s="3"/>
      <c r="AL163" s="3"/>
      <c r="AM163" s="3"/>
      <c r="AN163" s="3"/>
      <c r="AO163" s="3"/>
      <c r="AP163" s="3"/>
      <c r="AT163" s="169" t="s">
        <v>224</v>
      </c>
      <c r="AW163" s="170"/>
      <c r="BB163" s="170"/>
      <c r="BE163" s="170"/>
      <c r="BH163" s="170"/>
      <c r="BK163" s="170"/>
      <c r="BN163" s="170"/>
      <c r="BQ163" s="170"/>
      <c r="BT163" s="170"/>
      <c r="BW163" s="170"/>
      <c r="BZ163" s="170"/>
      <c r="CC163" s="170"/>
    </row>
    <row r="164" spans="1:81" s="117" customFormat="1" hidden="1">
      <c r="A164" s="171">
        <v>1</v>
      </c>
      <c r="B164" s="171" t="str">
        <f>E93</f>
        <v>Foothills Vanessa</v>
      </c>
      <c r="C164" s="171">
        <f>VLOOKUP(B164,AU$3:AY$33,3,FALSE)</f>
        <v>1223.9169286732151</v>
      </c>
      <c r="D164" s="171">
        <f>IF(B157,B172,IF(D157,D172,C164))</f>
        <v>1223.9169286732151</v>
      </c>
      <c r="E164" s="171"/>
      <c r="F164" s="171"/>
      <c r="G164" s="171">
        <f>IF(E157,E172,IF(G157,G172,D164))</f>
        <v>1208.6886035758776</v>
      </c>
      <c r="H164" s="171"/>
      <c r="I164" s="171"/>
      <c r="J164" s="171">
        <f>IF(H157,H172,IF(J157,J172,G164))</f>
        <v>1208.6886035758776</v>
      </c>
      <c r="K164" s="171"/>
      <c r="L164" s="171"/>
      <c r="M164" s="171"/>
      <c r="N164" s="171">
        <f>IF(L157,L172,IF(N157,N172,J164))</f>
        <v>1191.2997108241525</v>
      </c>
      <c r="O164" s="171"/>
      <c r="P164" s="171"/>
      <c r="Q164" s="171">
        <f>IF(O157,O172,IF(Q157,Q172,N164))</f>
        <v>1191.2997108241525</v>
      </c>
      <c r="R164" s="171"/>
      <c r="S164" s="171"/>
      <c r="T164" s="171">
        <f>IF(R157,R172,IF(T157,T172,Q164))</f>
        <v>1178.1633229210488</v>
      </c>
      <c r="U164" s="171"/>
      <c r="V164" s="171"/>
      <c r="W164" s="171">
        <f>IF(U157,U172,IF(W157,W172,T164))</f>
        <v>1178.1633229210488</v>
      </c>
      <c r="X164" s="171"/>
      <c r="Y164" s="171"/>
      <c r="Z164" s="171">
        <f>IF(X157,X172,IF(Z157,Z172,W164))</f>
        <v>1178.1633229210488</v>
      </c>
      <c r="AA164" s="171"/>
      <c r="AB164" s="171"/>
      <c r="AC164" s="171">
        <f>IF(AA157,AA172,IF(AC157,AC172,Z164))</f>
        <v>1178.1633229210488</v>
      </c>
      <c r="AD164" s="171"/>
      <c r="AE164" s="171"/>
      <c r="AF164" s="171">
        <f>IF(AD157,AD172,IF(AF157,AF172,AC164))</f>
        <v>1178.1633229210488</v>
      </c>
      <c r="AG164" s="3"/>
      <c r="AH164" s="3"/>
      <c r="AK164" s="3"/>
      <c r="AL164" s="3"/>
      <c r="AM164" s="3"/>
      <c r="AN164" s="3"/>
      <c r="AO164" s="3"/>
      <c r="AP164" s="3"/>
      <c r="AT164" s="117" t="str">
        <f>B164</f>
        <v>Foothills Vanessa</v>
      </c>
      <c r="AU164" s="117">
        <f>AF164</f>
        <v>1178.1633229210488</v>
      </c>
      <c r="AW164" s="170"/>
      <c r="BB164" s="170"/>
      <c r="BE164" s="170"/>
      <c r="BH164" s="170"/>
      <c r="BK164" s="170"/>
      <c r="BN164" s="170"/>
      <c r="BQ164" s="170"/>
      <c r="BT164" s="170"/>
      <c r="BW164" s="170"/>
      <c r="BZ164" s="170"/>
      <c r="CC164" s="170"/>
    </row>
    <row r="165" spans="1:81" s="117" customFormat="1" hidden="1">
      <c r="A165" s="171">
        <v>2</v>
      </c>
      <c r="B165" s="171" t="str">
        <f>E95</f>
        <v>SC Midlands KP Garnet</v>
      </c>
      <c r="C165" s="171">
        <f>VLOOKUP(B165,AU$3:AY$33,3,FALSE)</f>
        <v>1222.6612835415767</v>
      </c>
      <c r="D165" s="171">
        <f>IF(B158,B172,IF(D158,D172,C165))</f>
        <v>1237.3029727232797</v>
      </c>
      <c r="E165" s="171"/>
      <c r="F165" s="171"/>
      <c r="G165" s="171">
        <f>IF(E158,E172,IF(G158,G172,D165))</f>
        <v>1237.3029727232797</v>
      </c>
      <c r="H165" s="171"/>
      <c r="I165" s="171"/>
      <c r="J165" s="171">
        <f>IF(H158,H172,IF(J158,J172,G165))</f>
        <v>1254.1592680227873</v>
      </c>
      <c r="K165" s="171"/>
      <c r="L165" s="171"/>
      <c r="M165" s="171"/>
      <c r="N165" s="171">
        <f>IF(L158,L172,IF(N158,N172,J165))</f>
        <v>1254.1592680227873</v>
      </c>
      <c r="O165" s="171"/>
      <c r="P165" s="171"/>
      <c r="Q165" s="171">
        <f>IF(O158,O172,IF(Q158,Q172,N165))</f>
        <v>1254.1592680227873</v>
      </c>
      <c r="R165" s="171"/>
      <c r="S165" s="171"/>
      <c r="T165" s="171">
        <f>IF(R158,R172,IF(T158,T172,Q165))</f>
        <v>1267.295655925891</v>
      </c>
      <c r="U165" s="171"/>
      <c r="V165" s="171"/>
      <c r="W165" s="171">
        <f>IF(U158,U172,IF(W158,W172,T165))</f>
        <v>1267.295655925891</v>
      </c>
      <c r="X165" s="171"/>
      <c r="Y165" s="171"/>
      <c r="Z165" s="171">
        <f>IF(X158,X172,IF(Z158,Z172,W165))</f>
        <v>1267.295655925891</v>
      </c>
      <c r="AA165" s="171"/>
      <c r="AB165" s="171"/>
      <c r="AC165" s="171">
        <f>IF(AA158,AA172,IF(AC158,AC172,Z165))</f>
        <v>1267.295655925891</v>
      </c>
      <c r="AD165" s="171"/>
      <c r="AE165" s="171"/>
      <c r="AF165" s="171">
        <f>IF(AD158,AD172,IF(AF158,AF172,AC165))</f>
        <v>1267.295655925891</v>
      </c>
      <c r="AG165" s="3"/>
      <c r="AH165" s="3"/>
      <c r="AK165" s="3"/>
      <c r="AM165" s="3"/>
      <c r="AN165" s="3"/>
      <c r="AO165" s="3"/>
      <c r="AP165" s="3"/>
      <c r="AT165" s="117" t="str">
        <f>B165</f>
        <v>SC Midlands KP Garnet</v>
      </c>
      <c r="AU165" s="117">
        <f>AF165</f>
        <v>1267.295655925891</v>
      </c>
      <c r="AW165" s="170"/>
      <c r="BB165" s="170"/>
      <c r="BE165" s="170"/>
      <c r="BH165" s="170"/>
      <c r="BK165" s="170"/>
      <c r="BN165" s="170"/>
      <c r="BQ165" s="170"/>
      <c r="BT165" s="170"/>
      <c r="BW165" s="170"/>
      <c r="BZ165" s="170"/>
      <c r="CC165" s="170"/>
    </row>
    <row r="166" spans="1:81" s="117" customFormat="1" hidden="1">
      <c r="A166" s="171">
        <v>3</v>
      </c>
      <c r="B166" s="171" t="str">
        <f>E97</f>
        <v>Intense kids power col</v>
      </c>
      <c r="C166" s="171">
        <f>VLOOKUP(B166,AU$3:AY$33,3,FALSE)</f>
        <v>1193.0947726176266</v>
      </c>
      <c r="D166" s="171">
        <f>IF(B159,B172,IF(D159,D172,C166))</f>
        <v>1178.4530834359236</v>
      </c>
      <c r="E166" s="171"/>
      <c r="F166" s="171"/>
      <c r="G166" s="171">
        <f>IF(E159,E172,IF(G159,G172,D166))</f>
        <v>1178.4530834359236</v>
      </c>
      <c r="H166" s="171"/>
      <c r="I166" s="171"/>
      <c r="J166" s="171">
        <f>IF(H159,H172,IF(J159,J172,G166))</f>
        <v>1178.4530834359236</v>
      </c>
      <c r="K166" s="171"/>
      <c r="L166" s="171"/>
      <c r="M166" s="171"/>
      <c r="N166" s="171">
        <f>IF(L159,L172,IF(N159,N172,J166))</f>
        <v>1195.8419761876487</v>
      </c>
      <c r="O166" s="171"/>
      <c r="P166" s="171"/>
      <c r="Q166" s="171">
        <f>IF(O159,O172,IF(Q159,Q172,N166))</f>
        <v>1197.8219776000703</v>
      </c>
      <c r="R166" s="171"/>
      <c r="S166" s="171"/>
      <c r="T166" s="171">
        <f>IF(R159,R172,IF(T159,T172,Q166))</f>
        <v>1197.8219776000703</v>
      </c>
      <c r="U166" s="171"/>
      <c r="V166" s="171"/>
      <c r="W166" s="171">
        <f>IF(U159,U172,IF(W159,W172,T166))</f>
        <v>1197.8219776000703</v>
      </c>
      <c r="X166" s="171"/>
      <c r="Y166" s="171"/>
      <c r="Z166" s="171">
        <f>IF(X159,X172,IF(Z159,Z172,W166))</f>
        <v>1197.8219776000703</v>
      </c>
      <c r="AA166" s="171"/>
      <c r="AB166" s="171"/>
      <c r="AC166" s="171">
        <f>IF(AA159,AA172,IF(AC159,AC172,Z166))</f>
        <v>1197.8219776000703</v>
      </c>
      <c r="AD166" s="171"/>
      <c r="AE166" s="171"/>
      <c r="AF166" s="171">
        <f>IF(AD159,AD172,IF(AF159,AF172,AC166))</f>
        <v>1197.8219776000703</v>
      </c>
      <c r="AG166" s="3"/>
      <c r="AH166" s="3"/>
      <c r="AK166" s="3"/>
      <c r="AM166" s="3"/>
      <c r="AN166" s="3"/>
      <c r="AO166" s="3"/>
      <c r="AP166" s="3"/>
      <c r="AT166" s="117" t="str">
        <f>B166</f>
        <v>Intense kids power col</v>
      </c>
      <c r="AU166" s="117">
        <f>AF166</f>
        <v>1197.8219776000703</v>
      </c>
      <c r="AW166" s="170"/>
      <c r="BB166" s="170"/>
      <c r="BE166" s="170"/>
      <c r="BH166" s="170"/>
      <c r="BK166" s="170"/>
      <c r="BN166" s="170"/>
      <c r="BQ166" s="170"/>
      <c r="BT166" s="170"/>
      <c r="BW166" s="170"/>
      <c r="BZ166" s="170"/>
      <c r="CC166" s="170"/>
    </row>
    <row r="167" spans="1:81" s="117" customFormat="1" hidden="1">
      <c r="A167" s="171">
        <v>4</v>
      </c>
      <c r="B167" s="171" t="str">
        <f>E99</f>
        <v>Magnum 11 Black</v>
      </c>
      <c r="C167" s="171">
        <f>VLOOKUP(B167,AU$3:AY$33,3,FALSE)</f>
        <v>1240.6866470437872</v>
      </c>
      <c r="D167" s="171">
        <f>IF(B160,B172,IF(D160,D172,C167))</f>
        <v>1240.6866470437872</v>
      </c>
      <c r="E167" s="171"/>
      <c r="F167" s="171"/>
      <c r="G167" s="171">
        <f>IF(E160,E172,IF(G160,G172,D167))</f>
        <v>1255.9149721411247</v>
      </c>
      <c r="H167" s="171"/>
      <c r="I167" s="171"/>
      <c r="J167" s="171">
        <f>IF(H160,H172,IF(J160,J172,G167))</f>
        <v>1239.0586768416172</v>
      </c>
      <c r="K167" s="171"/>
      <c r="L167" s="171"/>
      <c r="M167" s="171"/>
      <c r="N167" s="171">
        <f>IF(L160,L172,IF(N160,N172,J167))</f>
        <v>1239.0586768416172</v>
      </c>
      <c r="O167" s="171"/>
      <c r="P167" s="171"/>
      <c r="Q167" s="171">
        <f>IF(O160,O172,IF(Q160,Q172,N167))</f>
        <v>1237.0786754291955</v>
      </c>
      <c r="R167" s="171"/>
      <c r="S167" s="171"/>
      <c r="T167" s="171">
        <f>IF(R160,R172,IF(T160,T172,Q167))</f>
        <v>1237.0786754291955</v>
      </c>
      <c r="U167" s="171"/>
      <c r="V167" s="171"/>
      <c r="W167" s="171">
        <f>IF(U160,U172,IF(W160,W172,T167))</f>
        <v>1237.0786754291955</v>
      </c>
      <c r="X167" s="171"/>
      <c r="Y167" s="171"/>
      <c r="Z167" s="171">
        <f>IF(X160,X172,IF(Z160,Z172,W167))</f>
        <v>1237.0786754291955</v>
      </c>
      <c r="AA167" s="171"/>
      <c r="AB167" s="171"/>
      <c r="AC167" s="171">
        <f>IF(AA160,AA172,IF(AC160,AC172,Z167))</f>
        <v>1237.0786754291955</v>
      </c>
      <c r="AD167" s="171"/>
      <c r="AE167" s="171"/>
      <c r="AF167" s="171">
        <f>IF(AD160,AD172,IF(AF160,AF172,AC167))</f>
        <v>1237.0786754291955</v>
      </c>
      <c r="AG167" s="3"/>
      <c r="AH167" s="3"/>
      <c r="AK167" s="3"/>
      <c r="AM167" s="3"/>
      <c r="AN167" s="3"/>
      <c r="AO167" s="3"/>
      <c r="AP167" s="3"/>
      <c r="AT167" s="117" t="str">
        <f>B167</f>
        <v>Magnum 11 Black</v>
      </c>
      <c r="AU167" s="117">
        <f>AF167</f>
        <v>1237.0786754291955</v>
      </c>
      <c r="AW167" s="170"/>
      <c r="BB167" s="170"/>
      <c r="BE167" s="170"/>
      <c r="BH167" s="170"/>
      <c r="BK167" s="170"/>
      <c r="BN167" s="170"/>
      <c r="BQ167" s="170"/>
      <c r="BT167" s="170"/>
      <c r="BW167" s="170"/>
      <c r="BZ167" s="170"/>
      <c r="CC167" s="170"/>
    </row>
    <row r="168" spans="1:81" s="117" customFormat="1" hidden="1">
      <c r="A168" s="171">
        <v>5</v>
      </c>
      <c r="B168" s="171">
        <f>E101</f>
        <v>0</v>
      </c>
      <c r="C168" s="171" t="e">
        <f>VLOOKUP(B168,AU$3:AY$33,3,FALSE)</f>
        <v>#N/A</v>
      </c>
      <c r="D168" s="171" t="e">
        <f>IF(B161,B172,IF(D161,D172,C168))</f>
        <v>#N/A</v>
      </c>
      <c r="E168" s="171"/>
      <c r="F168" s="171"/>
      <c r="G168" s="171" t="e">
        <f>IF(E161,E172,IF(G161,G172,D168))</f>
        <v>#N/A</v>
      </c>
      <c r="H168" s="171"/>
      <c r="I168" s="171"/>
      <c r="J168" s="171" t="e">
        <f>IF(H161,H172,IF(J161,J172,G168))</f>
        <v>#N/A</v>
      </c>
      <c r="K168" s="171"/>
      <c r="L168" s="171"/>
      <c r="M168" s="171"/>
      <c r="N168" s="171" t="e">
        <f>IF(L161,L172,IF(N161,N172,J168))</f>
        <v>#N/A</v>
      </c>
      <c r="O168" s="171"/>
      <c r="P168" s="171"/>
      <c r="Q168" s="171" t="e">
        <f>IF(O161,O172,IF(Q161,Q172,N168))</f>
        <v>#N/A</v>
      </c>
      <c r="R168" s="171"/>
      <c r="S168" s="171"/>
      <c r="T168" s="171" t="e">
        <f>IF(R161,R172,IF(T161,T172,Q168))</f>
        <v>#N/A</v>
      </c>
      <c r="U168" s="171"/>
      <c r="V168" s="171"/>
      <c r="W168" s="171" t="e">
        <f>IF(U161,U172,IF(W161,W172,T168))</f>
        <v>#N/A</v>
      </c>
      <c r="X168" s="171"/>
      <c r="Y168" s="171"/>
      <c r="Z168" s="171" t="e">
        <f>IF(X161,X172,IF(Z161,Z172,W168))</f>
        <v>#N/A</v>
      </c>
      <c r="AA168" s="171"/>
      <c r="AB168" s="171"/>
      <c r="AC168" s="171" t="e">
        <f>IF(AA161,AA172,IF(AC161,AC172,Z168))</f>
        <v>#N/A</v>
      </c>
      <c r="AD168" s="171"/>
      <c r="AE168" s="171"/>
      <c r="AF168" s="171" t="e">
        <f>IF(AD161,AD172,IF(AF161,AF172,AC168))</f>
        <v>#N/A</v>
      </c>
      <c r="AG168" s="3"/>
      <c r="AH168" s="3"/>
      <c r="AK168" s="3"/>
      <c r="AM168" s="3"/>
      <c r="AN168" s="3"/>
      <c r="AO168" s="3"/>
      <c r="AP168" s="3"/>
      <c r="AT168" s="117">
        <f>B168</f>
        <v>0</v>
      </c>
      <c r="AU168" s="117" t="e">
        <f>AF168</f>
        <v>#N/A</v>
      </c>
      <c r="AW168" s="170"/>
      <c r="BB168" s="170"/>
      <c r="BE168" s="170"/>
      <c r="BH168" s="170"/>
      <c r="BK168" s="170"/>
      <c r="BN168" s="170"/>
      <c r="BQ168" s="170"/>
      <c r="BT168" s="170"/>
      <c r="BW168" s="170"/>
      <c r="BZ168" s="170"/>
      <c r="CC168" s="170"/>
    </row>
    <row r="169" spans="1:81" s="117" customFormat="1" hidden="1">
      <c r="A169" s="171"/>
      <c r="B169" s="171"/>
      <c r="C169" s="171"/>
      <c r="D169" s="171"/>
      <c r="E169" s="171"/>
      <c r="F169" s="171"/>
      <c r="G169" s="171"/>
      <c r="H169" s="171"/>
      <c r="I169" s="171"/>
      <c r="J169" s="171"/>
      <c r="K169" s="171"/>
      <c r="L169" s="171"/>
      <c r="M169" s="171"/>
      <c r="N169" s="171"/>
      <c r="O169" s="171"/>
      <c r="P169" s="171"/>
      <c r="Q169" s="171"/>
      <c r="R169" s="171"/>
      <c r="S169" s="171"/>
      <c r="T169" s="171"/>
      <c r="U169" s="171"/>
      <c r="V169" s="171"/>
      <c r="W169" s="171"/>
      <c r="X169" s="171"/>
      <c r="Y169" s="171"/>
      <c r="Z169" s="171"/>
      <c r="AA169" s="171"/>
      <c r="AB169" s="171"/>
      <c r="AC169" s="171"/>
      <c r="AD169" s="171"/>
      <c r="AE169" s="171"/>
      <c r="AF169" s="171"/>
      <c r="AG169" s="3"/>
      <c r="AH169" s="3"/>
      <c r="AK169" s="3"/>
      <c r="AM169" s="3"/>
      <c r="AN169" s="3"/>
      <c r="AO169" s="3"/>
      <c r="AP169" s="3"/>
      <c r="AW169" s="170"/>
      <c r="BB169" s="170"/>
      <c r="BE169" s="170"/>
      <c r="BH169" s="170"/>
      <c r="BK169" s="170"/>
      <c r="BN169" s="170"/>
      <c r="BQ169" s="170"/>
      <c r="BT169" s="170"/>
      <c r="BW169" s="170"/>
      <c r="BZ169" s="170"/>
      <c r="CC169" s="170"/>
    </row>
    <row r="170" spans="1:81" s="117" customFormat="1" hidden="1">
      <c r="A170" s="171" t="s">
        <v>225</v>
      </c>
      <c r="B170" s="171">
        <f>VLOOKUP(B109,$A164:$AF168,3,FALSE)</f>
        <v>1222.6612835415767</v>
      </c>
      <c r="C170" s="171">
        <v>1</v>
      </c>
      <c r="D170" s="171">
        <f>VLOOKUP(D109,$A164:$AF168,3,FALSE)</f>
        <v>1193.0947726176266</v>
      </c>
      <c r="E170" s="171">
        <f>VLOOKUP(E109,$A164:$AF168,4,FALSE)</f>
        <v>1223.9169286732151</v>
      </c>
      <c r="F170" s="171">
        <v>2</v>
      </c>
      <c r="G170" s="171">
        <f>VLOOKUP(G109,$A164:$AF168,4,FALSE)</f>
        <v>1240.6866470437872</v>
      </c>
      <c r="H170" s="171">
        <f>VLOOKUP(H109,$A164:$AF168,7,FALSE)</f>
        <v>1237.3029727232797</v>
      </c>
      <c r="I170" s="171">
        <v>3</v>
      </c>
      <c r="J170" s="171">
        <f>VLOOKUP(J109,$A164:$AF168,7,FALSE)</f>
        <v>1255.9149721411247</v>
      </c>
      <c r="K170" s="171"/>
      <c r="L170" s="171">
        <f>VLOOKUP(L109,$A164:$AF168,10,FALSE)</f>
        <v>1208.6886035758776</v>
      </c>
      <c r="M170" s="171">
        <v>4</v>
      </c>
      <c r="N170" s="171">
        <f>VLOOKUP(N109,$A164:$AF168,10,FALSE)</f>
        <v>1178.4530834359236</v>
      </c>
      <c r="O170" s="171">
        <f>VLOOKUP(O109,$A164:$AF168,14,FALSE)</f>
        <v>1195.8419761876487</v>
      </c>
      <c r="P170" s="171">
        <v>5</v>
      </c>
      <c r="Q170" s="171">
        <f>VLOOKUP(Q109,$A164:$AF168,14,FALSE)</f>
        <v>1239.0586768416172</v>
      </c>
      <c r="R170" s="171">
        <f>VLOOKUP(R109,$A164:$AF168,17,FALSE)</f>
        <v>1191.2997108241525</v>
      </c>
      <c r="S170" s="171">
        <v>6</v>
      </c>
      <c r="T170" s="171">
        <f>VLOOKUP(T109,$A164:$AF168,17,FALSE)</f>
        <v>1254.1592680227873</v>
      </c>
      <c r="U170" s="171" t="e">
        <f>VLOOKUP(U109,$A164:$AF168,20,FALSE)</f>
        <v>#N/A</v>
      </c>
      <c r="V170" s="171">
        <v>7</v>
      </c>
      <c r="W170" s="171" t="e">
        <f>VLOOKUP(W109,$A164:$AF168,20,FALSE)</f>
        <v>#N/A</v>
      </c>
      <c r="X170" s="171" t="e">
        <f>VLOOKUP(X109,$A164:$AF168,23,FALSE)</f>
        <v>#N/A</v>
      </c>
      <c r="Y170" s="171">
        <v>8</v>
      </c>
      <c r="Z170" s="171" t="e">
        <f>VLOOKUP(Z109,$A164:$AF168,23,FALSE)</f>
        <v>#N/A</v>
      </c>
      <c r="AA170" s="171" t="e">
        <f>VLOOKUP(AA109,$A164:$AF168,26,FALSE)</f>
        <v>#N/A</v>
      </c>
      <c r="AB170" s="171">
        <v>9</v>
      </c>
      <c r="AC170" s="171" t="e">
        <f>VLOOKUP(AC109,$A164:$AF168,26,FALSE)</f>
        <v>#N/A</v>
      </c>
      <c r="AD170" s="171" t="e">
        <f>VLOOKUP(AD109,$A164:$AF168,29,FALSE)</f>
        <v>#N/A</v>
      </c>
      <c r="AE170" s="171">
        <v>10</v>
      </c>
      <c r="AF170" s="171" t="e">
        <f>VLOOKUP(AF109,$A164:$AF168,29,FALSE)</f>
        <v>#N/A</v>
      </c>
      <c r="AG170" s="3"/>
      <c r="AH170" s="219"/>
      <c r="AI170" s="219"/>
      <c r="AJ170" s="219"/>
      <c r="AK170" s="219"/>
      <c r="AL170" s="219"/>
      <c r="AM170" s="219"/>
      <c r="AN170" s="219"/>
      <c r="AO170" s="220"/>
      <c r="AP170" s="220"/>
      <c r="AQ170" s="220"/>
      <c r="AR170" s="220"/>
      <c r="AW170" s="170"/>
      <c r="BB170" s="170"/>
      <c r="BE170" s="170"/>
      <c r="BH170" s="170"/>
      <c r="BK170" s="170"/>
      <c r="BN170" s="170"/>
      <c r="BQ170" s="170"/>
      <c r="BT170" s="170"/>
      <c r="BW170" s="170"/>
      <c r="BZ170" s="170"/>
      <c r="CC170" s="170"/>
    </row>
    <row r="171" spans="1:81" s="176" customFormat="1" hidden="1">
      <c r="A171" s="172" t="s">
        <v>226</v>
      </c>
      <c r="B171" s="172">
        <f>1/(1+(10^-((B170-D170)/400)))*(B121+D121)</f>
        <v>1.0848944261435616</v>
      </c>
      <c r="C171" s="172"/>
      <c r="D171" s="172">
        <f>1/(1+(10^-((D170-B170)/400)))*(B121+D121)</f>
        <v>0.91510557385643854</v>
      </c>
      <c r="E171" s="172">
        <f>1/(1+(10^-((E170-G170)/400)))*(E121+G121)</f>
        <v>0.95177031858359451</v>
      </c>
      <c r="F171" s="172"/>
      <c r="G171" s="172">
        <f>1/(1+(10^-((G170-E170)/400)))*(E121+G121)</f>
        <v>1.0482296814164054</v>
      </c>
      <c r="H171" s="172">
        <f>1/(1+(10^-((H170-J170)/400)))*(H121+J121)</f>
        <v>0.94648154378078375</v>
      </c>
      <c r="I171" s="172"/>
      <c r="J171" s="172">
        <f>1/(1+(10^-((J170-H170)/400)))*(H121+J121)</f>
        <v>1.0535184562192166</v>
      </c>
      <c r="K171" s="172"/>
      <c r="L171" s="172">
        <f>1/(1+(10^-((L170-N170)/400)))*(L121+N121)</f>
        <v>1.086805796982814</v>
      </c>
      <c r="M171" s="172"/>
      <c r="N171" s="172">
        <f>1/(1+(10^-((N170-L170)/400)))*(L121+N121)</f>
        <v>0.91319420301718601</v>
      </c>
      <c r="O171" s="172">
        <f>1/(1+(10^-((O170-Q170)/400)))*(O121+Q121)</f>
        <v>0.87624991172364308</v>
      </c>
      <c r="P171" s="172"/>
      <c r="Q171" s="172">
        <f>1/(1+(10^-((Q170-O170)/400)))*(O121+Q121)</f>
        <v>1.1237500882763569</v>
      </c>
      <c r="R171" s="172">
        <f>1/(1+(10^-((R170-T170)/400)))*(R121+T121)</f>
        <v>0.82102424394398243</v>
      </c>
      <c r="S171" s="172"/>
      <c r="T171" s="172">
        <f>1/(1+(10^-((T170-R170)/400)))*(R121+T121)</f>
        <v>1.1789757560560177</v>
      </c>
      <c r="U171" s="172" t="e">
        <f>1/(1+(10^-((U170-W170)/400)))*(U121+W121)</f>
        <v>#N/A</v>
      </c>
      <c r="V171" s="172"/>
      <c r="W171" s="172" t="e">
        <f>1/(1+(10^-((W170-U170)/400)))*(U121+W121)</f>
        <v>#N/A</v>
      </c>
      <c r="X171" s="172" t="e">
        <f>1/(1+(10^-((X170-Z170)/400)))*(X121+Z121)</f>
        <v>#N/A</v>
      </c>
      <c r="Y171" s="172"/>
      <c r="Z171" s="172" t="e">
        <f>1/(1+(10^-((Z170-X170)/400)))*(X121+Z121)</f>
        <v>#N/A</v>
      </c>
      <c r="AA171" s="172" t="e">
        <f>1/(1+(10^-((AA170-AC170)/400)))*(AA121+AC121)</f>
        <v>#N/A</v>
      </c>
      <c r="AB171" s="172"/>
      <c r="AC171" s="172" t="e">
        <f>1/(1+(10^-((AC170-AA170)/400)))*(AA121+AC121)</f>
        <v>#N/A</v>
      </c>
      <c r="AD171" s="172" t="e">
        <f>1/(1+(10^-((AD170-AF170)/400)))*(AD121+AF121)</f>
        <v>#N/A</v>
      </c>
      <c r="AE171" s="172"/>
      <c r="AF171" s="172" t="e">
        <f>1/(1+(10^-((AF170-AD170)/400)))*(AD121+AF121)</f>
        <v>#N/A</v>
      </c>
      <c r="AG171" s="173"/>
      <c r="AH171" s="174"/>
      <c r="AI171" s="174"/>
      <c r="AJ171" s="174"/>
      <c r="AK171" s="174"/>
      <c r="AL171" s="174"/>
      <c r="AM171" s="174"/>
      <c r="AN171" s="174"/>
      <c r="AO171" s="175"/>
      <c r="AP171" s="175"/>
      <c r="AQ171" s="175"/>
      <c r="AR171" s="175"/>
      <c r="AW171" s="177"/>
      <c r="BB171" s="177"/>
      <c r="BE171" s="177"/>
      <c r="BH171" s="177"/>
      <c r="BK171" s="177"/>
      <c r="BN171" s="177"/>
      <c r="BQ171" s="177"/>
      <c r="BT171" s="177"/>
      <c r="BW171" s="177"/>
      <c r="BZ171" s="177"/>
      <c r="CC171" s="177"/>
    </row>
    <row r="172" spans="1:81" s="182" customFormat="1" hidden="1">
      <c r="A172" s="178" t="s">
        <v>227</v>
      </c>
      <c r="B172" s="178">
        <f>B170+(B121-B171)*$BA$1</f>
        <v>1237.3029727232797</v>
      </c>
      <c r="C172" s="178"/>
      <c r="D172" s="178">
        <f>D170+(D121-D171)*$BA$1</f>
        <v>1178.4530834359236</v>
      </c>
      <c r="E172" s="178">
        <f>E170+(E121-E171)*$BA$1</f>
        <v>1208.6886035758776</v>
      </c>
      <c r="F172" s="178"/>
      <c r="G172" s="178">
        <f>G170+(G121-G171)*$BA$1</f>
        <v>1255.9149721411247</v>
      </c>
      <c r="H172" s="178">
        <f>H170+(H121-H171)*$BA$1</f>
        <v>1254.1592680227873</v>
      </c>
      <c r="I172" s="178"/>
      <c r="J172" s="178">
        <f>J170+(J121-J171)*$BA$1</f>
        <v>1239.0586768416172</v>
      </c>
      <c r="K172" s="178"/>
      <c r="L172" s="178">
        <f>L170+(L121-L171)*$BA$1</f>
        <v>1191.2997108241525</v>
      </c>
      <c r="M172" s="178"/>
      <c r="N172" s="178">
        <f>N170+(N121-N171)*$BA$1</f>
        <v>1195.8419761876487</v>
      </c>
      <c r="O172" s="178">
        <f>O170+(O121-O171)*$BA$1</f>
        <v>1197.8219776000703</v>
      </c>
      <c r="P172" s="178"/>
      <c r="Q172" s="178">
        <f>Q170+(Q121-Q171)*$BA$1</f>
        <v>1237.0786754291955</v>
      </c>
      <c r="R172" s="178">
        <f>R170+(R121-R171)*$BA$1</f>
        <v>1178.1633229210488</v>
      </c>
      <c r="S172" s="178"/>
      <c r="T172" s="178">
        <f>T170+(T121-T171)*$BA$1</f>
        <v>1267.295655925891</v>
      </c>
      <c r="U172" s="178" t="e">
        <f>U170+(U121-U171)*$BA$1</f>
        <v>#N/A</v>
      </c>
      <c r="V172" s="178"/>
      <c r="W172" s="178" t="e">
        <f>W170+(W121-W171)*$BA$1</f>
        <v>#N/A</v>
      </c>
      <c r="X172" s="178" t="e">
        <f>X170+(X121-X171)*$BA$1</f>
        <v>#N/A</v>
      </c>
      <c r="Y172" s="178"/>
      <c r="Z172" s="178" t="e">
        <f>Z170+(Z121-Z171)*$BA$1</f>
        <v>#N/A</v>
      </c>
      <c r="AA172" s="178" t="e">
        <f>AA170+(AA121-AA171)*$BA$1</f>
        <v>#N/A</v>
      </c>
      <c r="AB172" s="178"/>
      <c r="AC172" s="178" t="e">
        <f>AC170+(AC121-AC171)*$BA$1</f>
        <v>#N/A</v>
      </c>
      <c r="AD172" s="178" t="e">
        <f>AD170+(AD121-AD171)*$BA$1</f>
        <v>#N/A</v>
      </c>
      <c r="AE172" s="178"/>
      <c r="AF172" s="178" t="e">
        <f>AF170+(AF121-AF171)*$BA$1</f>
        <v>#N/A</v>
      </c>
      <c r="AG172" s="179"/>
      <c r="AH172" s="180"/>
      <c r="AI172" s="180"/>
      <c r="AJ172" s="180"/>
      <c r="AK172" s="180"/>
      <c r="AL172" s="180"/>
      <c r="AM172" s="180"/>
      <c r="AN172" s="180"/>
      <c r="AO172" s="181"/>
      <c r="AP172" s="181"/>
      <c r="AQ172" s="181"/>
      <c r="AR172" s="181"/>
      <c r="AW172" s="183"/>
      <c r="BB172" s="183"/>
      <c r="BE172" s="183"/>
      <c r="BH172" s="183"/>
      <c r="BK172" s="183"/>
      <c r="BN172" s="183"/>
      <c r="BQ172" s="183"/>
      <c r="BT172" s="183"/>
      <c r="BW172" s="183"/>
      <c r="BZ172" s="183"/>
      <c r="CC172" s="183"/>
    </row>
    <row r="173" spans="1:81" s="182" customFormat="1" hidden="1">
      <c r="A173" s="178"/>
      <c r="B173" s="178"/>
      <c r="C173" s="178"/>
      <c r="D173" s="178"/>
      <c r="E173" s="178"/>
      <c r="F173" s="178"/>
      <c r="G173" s="178"/>
      <c r="H173" s="178"/>
      <c r="I173" s="178"/>
      <c r="J173" s="178"/>
      <c r="K173" s="178"/>
      <c r="L173" s="178"/>
      <c r="M173" s="178"/>
      <c r="N173" s="178"/>
      <c r="O173" s="178"/>
      <c r="P173" s="178"/>
      <c r="Q173" s="178"/>
      <c r="R173" s="178"/>
      <c r="S173" s="178"/>
      <c r="T173" s="178"/>
      <c r="U173" s="178"/>
      <c r="V173" s="178"/>
      <c r="W173" s="178"/>
      <c r="X173" s="178"/>
      <c r="Y173" s="178"/>
      <c r="Z173" s="178"/>
      <c r="AA173" s="178"/>
      <c r="AB173" s="178"/>
      <c r="AC173" s="178"/>
      <c r="AD173" s="178"/>
      <c r="AE173" s="178"/>
      <c r="AF173" s="178"/>
      <c r="AG173" s="179"/>
      <c r="AH173" s="180"/>
      <c r="AI173" s="180"/>
      <c r="AJ173" s="180"/>
      <c r="AK173" s="180"/>
      <c r="AL173" s="180"/>
      <c r="AM173" s="180"/>
      <c r="AN173" s="180"/>
      <c r="AO173" s="181"/>
      <c r="AP173" s="181"/>
      <c r="AQ173" s="181"/>
      <c r="AR173" s="181"/>
      <c r="AW173" s="183"/>
      <c r="BB173" s="183"/>
      <c r="BE173" s="183"/>
      <c r="BH173" s="183"/>
      <c r="BK173" s="183"/>
      <c r="BN173" s="183"/>
      <c r="BQ173" s="183"/>
      <c r="BT173" s="183"/>
      <c r="BW173" s="183"/>
      <c r="BZ173" s="183"/>
      <c r="CC173" s="183"/>
    </row>
    <row r="174" spans="1:81" s="117" customFormat="1">
      <c r="A174" s="393" t="str">
        <f>IF($AL95=1,"Pool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Tiereaker : 1) Matches Won vs Lost (if 3 way tie then #4)  2) Head to Head  3) Game Win %  4) Total Pool Net Points  5) Flip a Coin</v>
      </c>
      <c r="B174" s="393"/>
      <c r="C174" s="393"/>
      <c r="D174" s="393"/>
      <c r="E174" s="393"/>
      <c r="F174" s="393"/>
      <c r="G174" s="393"/>
      <c r="H174" s="393"/>
      <c r="I174" s="393"/>
      <c r="J174" s="393"/>
      <c r="K174" s="393"/>
      <c r="L174" s="393"/>
      <c r="M174" s="393"/>
      <c r="N174" s="393"/>
      <c r="O174" s="393"/>
      <c r="P174" s="393"/>
      <c r="Q174" s="393"/>
      <c r="R174" s="393"/>
      <c r="S174" s="393"/>
      <c r="T174" s="393"/>
      <c r="U174" s="393"/>
      <c r="V174" s="393"/>
      <c r="W174" s="393"/>
      <c r="X174" s="393"/>
      <c r="Y174" s="393"/>
      <c r="Z174" s="393"/>
      <c r="AA174" s="393"/>
      <c r="AB174" s="393"/>
      <c r="AC174" s="393"/>
      <c r="AD174" s="393"/>
      <c r="AE174" s="393"/>
      <c r="AF174" s="393"/>
      <c r="AG174" s="393"/>
      <c r="AH174" s="393"/>
      <c r="AI174" s="393"/>
      <c r="AJ174" s="393"/>
      <c r="AK174" s="393"/>
      <c r="AL174" s="393"/>
      <c r="AM174" s="393"/>
      <c r="AN174" s="394"/>
      <c r="AO174" s="394"/>
      <c r="AP174" s="394"/>
      <c r="AQ174" s="394"/>
      <c r="AW174" s="170"/>
    </row>
    <row r="175" spans="1:81" s="117" customFormat="1" ht="13.5" thickBot="1">
      <c r="A175" s="395"/>
      <c r="B175" s="395"/>
      <c r="C175" s="395"/>
      <c r="D175" s="395"/>
      <c r="E175" s="395"/>
      <c r="F175" s="395"/>
      <c r="G175" s="395"/>
      <c r="H175" s="395"/>
      <c r="I175" s="395"/>
      <c r="J175" s="395"/>
      <c r="K175" s="395"/>
      <c r="L175" s="395"/>
      <c r="M175" s="395"/>
      <c r="N175" s="395"/>
      <c r="O175" s="395"/>
      <c r="P175" s="395"/>
      <c r="Q175" s="395"/>
      <c r="R175" s="395"/>
      <c r="S175" s="395"/>
      <c r="T175" s="395"/>
      <c r="U175" s="395"/>
      <c r="V175" s="395"/>
      <c r="W175" s="395"/>
      <c r="X175" s="395"/>
      <c r="Y175" s="395"/>
      <c r="Z175" s="395"/>
      <c r="AA175" s="395"/>
      <c r="AB175" s="395"/>
      <c r="AC175" s="395"/>
      <c r="AD175" s="395"/>
      <c r="AE175" s="395"/>
      <c r="AF175" s="395"/>
      <c r="AG175" s="395"/>
      <c r="AH175" s="395"/>
      <c r="AI175" s="395"/>
      <c r="AJ175" s="395"/>
      <c r="AK175" s="395"/>
      <c r="AL175" s="395"/>
      <c r="AM175" s="395"/>
      <c r="AN175" s="395"/>
      <c r="AO175" s="395"/>
      <c r="AP175" s="395"/>
      <c r="AQ175" s="395"/>
      <c r="AR175" s="395"/>
      <c r="AW175" s="170"/>
    </row>
    <row r="176" spans="1:81" ht="24" customHeight="1" thickBot="1">
      <c r="A176" s="96" t="s">
        <v>16</v>
      </c>
      <c r="B176" s="150" t="s">
        <v>295</v>
      </c>
      <c r="C176" s="274" t="s">
        <v>188</v>
      </c>
      <c r="D176" s="275"/>
      <c r="E176" s="275"/>
      <c r="F176" s="275"/>
      <c r="G176" s="275"/>
      <c r="H176" s="276"/>
      <c r="I176" s="277">
        <v>3</v>
      </c>
      <c r="J176" s="278"/>
      <c r="K176" s="279" t="str">
        <f>"Pool "&amp;B176&amp;" - Round 1 - Court "&amp;I176</f>
        <v>Pool C - Round 1 - Court 3</v>
      </c>
      <c r="L176" s="280"/>
      <c r="M176" s="280"/>
      <c r="N176" s="280"/>
      <c r="O176" s="280"/>
      <c r="P176" s="280"/>
      <c r="Q176" s="280"/>
      <c r="R176" s="280"/>
      <c r="S176" s="280"/>
      <c r="T176" s="280"/>
      <c r="U176" s="280"/>
      <c r="V176" s="280"/>
      <c r="W176" s="280"/>
      <c r="X176" s="280"/>
      <c r="Y176" s="280"/>
      <c r="Z176" s="280"/>
      <c r="AA176" s="280"/>
      <c r="AB176" s="280"/>
      <c r="AC176" s="280"/>
      <c r="AD176" s="280"/>
      <c r="AE176" s="280"/>
      <c r="AF176" s="280"/>
      <c r="AG176" s="280"/>
      <c r="AH176" s="280"/>
      <c r="AI176" s="280"/>
      <c r="AJ176" s="281"/>
      <c r="AK176" s="534"/>
      <c r="AL176" s="534"/>
      <c r="AM176" s="534"/>
      <c r="AN176" s="534"/>
      <c r="AO176" s="534"/>
      <c r="AP176" s="534"/>
      <c r="AQ176" s="534"/>
      <c r="AR176" s="534"/>
    </row>
    <row r="177" spans="1:44" ht="27" customHeight="1" thickBot="1">
      <c r="A177" s="97" t="s">
        <v>17</v>
      </c>
      <c r="B177" s="282" t="s">
        <v>5</v>
      </c>
      <c r="C177" s="295"/>
      <c r="D177" s="295"/>
      <c r="E177" s="295"/>
      <c r="F177" s="295"/>
      <c r="G177" s="295"/>
      <c r="H177" s="295"/>
      <c r="I177" s="295"/>
      <c r="J177" s="295"/>
      <c r="K177" s="295"/>
      <c r="L177" s="295"/>
      <c r="M177" s="282" t="str">
        <f>IF($AL180=0,"Games Won","Matches Won")</f>
        <v>Matches Won</v>
      </c>
      <c r="N177" s="295"/>
      <c r="O177" s="295"/>
      <c r="P177" s="295"/>
      <c r="Q177" s="295"/>
      <c r="R177" s="297"/>
      <c r="S177" s="282" t="str">
        <f>IF($AL180=0,"Games Lost","Matches Lost")</f>
        <v>Matches Lost</v>
      </c>
      <c r="T177" s="299"/>
      <c r="U177" s="299"/>
      <c r="V177" s="299"/>
      <c r="W177" s="300"/>
      <c r="X177" s="301" t="s">
        <v>18</v>
      </c>
      <c r="Y177" s="302"/>
      <c r="Z177" s="303"/>
      <c r="AA177" s="301" t="s">
        <v>189</v>
      </c>
      <c r="AB177" s="302"/>
      <c r="AC177" s="303"/>
      <c r="AD177" s="312" t="s">
        <v>19</v>
      </c>
      <c r="AE177" s="313"/>
      <c r="AF177" s="314"/>
      <c r="AG177" s="98" t="s">
        <v>20</v>
      </c>
      <c r="AH177" s="151" t="s">
        <v>4</v>
      </c>
      <c r="AI177" s="315" t="s">
        <v>21</v>
      </c>
      <c r="AJ177" s="316"/>
      <c r="AK177" s="99"/>
      <c r="AL177" s="100">
        <v>2</v>
      </c>
      <c r="AM177" s="101" t="s">
        <v>22</v>
      </c>
      <c r="AN177" s="101"/>
      <c r="AO177" s="101"/>
      <c r="AP177" s="101"/>
      <c r="AQ177" s="101"/>
      <c r="AR177" s="101"/>
    </row>
    <row r="178" spans="1:44" ht="18.75" customHeight="1">
      <c r="A178" s="562" t="str">
        <f>IF($AL179&gt;0,"1","")</f>
        <v>1</v>
      </c>
      <c r="B178" s="319" t="s">
        <v>5</v>
      </c>
      <c r="C178" s="320"/>
      <c r="D178" s="321"/>
      <c r="E178" s="322" t="str">
        <f>AU5</f>
        <v>SC Midlands KP Black</v>
      </c>
      <c r="F178" s="323"/>
      <c r="G178" s="323"/>
      <c r="H178" s="323"/>
      <c r="I178" s="323"/>
      <c r="J178" s="323"/>
      <c r="K178" s="323"/>
      <c r="L178" s="324"/>
      <c r="M178" s="304">
        <f>IF($AL180=0,AG234,AG216)</f>
        <v>2</v>
      </c>
      <c r="N178" s="305"/>
      <c r="O178" s="305"/>
      <c r="P178" s="305"/>
      <c r="Q178" s="305"/>
      <c r="R178" s="297"/>
      <c r="S178" s="304">
        <f>IF($AL180=0,AH234,AH216)</f>
        <v>1</v>
      </c>
      <c r="T178" s="305"/>
      <c r="U178" s="305"/>
      <c r="V178" s="305"/>
      <c r="W178" s="305"/>
      <c r="X178" s="304">
        <f>AR194</f>
        <v>35</v>
      </c>
      <c r="Y178" s="305"/>
      <c r="Z178" s="305"/>
      <c r="AA178" s="563">
        <f>IF(AG228&gt;0,(AR194/AG228),0)</f>
        <v>0.19886363636363635</v>
      </c>
      <c r="AB178" s="564"/>
      <c r="AC178" s="564"/>
      <c r="AD178" s="565">
        <f>IF(AG242=0,0,(AG234/AG242))</f>
        <v>0.625</v>
      </c>
      <c r="AE178" s="566"/>
      <c r="AF178" s="567"/>
      <c r="AG178" s="331">
        <v>2</v>
      </c>
      <c r="AH178" s="331">
        <v>3</v>
      </c>
      <c r="AI178" s="333"/>
      <c r="AJ178" s="334"/>
      <c r="AK178" s="99"/>
      <c r="AL178" s="100">
        <v>6</v>
      </c>
      <c r="AM178" s="101" t="s">
        <v>23</v>
      </c>
      <c r="AN178" s="101"/>
      <c r="AO178" s="101"/>
      <c r="AP178" s="101"/>
      <c r="AQ178" s="101"/>
      <c r="AR178" s="101"/>
    </row>
    <row r="179" spans="1:44" ht="18.75" customHeight="1" thickBot="1">
      <c r="A179" s="568"/>
      <c r="B179" s="337" t="s">
        <v>6</v>
      </c>
      <c r="C179" s="338"/>
      <c r="D179" s="339"/>
      <c r="E179" s="340" t="str">
        <f>AV5</f>
        <v>fj1scmid1pm</v>
      </c>
      <c r="F179" s="341"/>
      <c r="G179" s="341"/>
      <c r="H179" s="341"/>
      <c r="I179" s="341"/>
      <c r="J179" s="341"/>
      <c r="K179" s="341"/>
      <c r="L179" s="341"/>
      <c r="M179" s="306"/>
      <c r="N179" s="307"/>
      <c r="O179" s="307"/>
      <c r="P179" s="307"/>
      <c r="Q179" s="307"/>
      <c r="R179" s="297"/>
      <c r="S179" s="306"/>
      <c r="T179" s="307"/>
      <c r="U179" s="307"/>
      <c r="V179" s="307"/>
      <c r="W179" s="307"/>
      <c r="X179" s="306"/>
      <c r="Y179" s="307"/>
      <c r="Z179" s="307"/>
      <c r="AA179" s="569"/>
      <c r="AB179" s="570"/>
      <c r="AC179" s="570"/>
      <c r="AD179" s="571"/>
      <c r="AE179" s="572"/>
      <c r="AF179" s="573"/>
      <c r="AG179" s="332"/>
      <c r="AH179" s="332"/>
      <c r="AI179" s="335"/>
      <c r="AJ179" s="336"/>
      <c r="AK179" s="99"/>
      <c r="AL179" s="100">
        <v>3</v>
      </c>
      <c r="AM179" s="101" t="s">
        <v>190</v>
      </c>
      <c r="AN179" s="99"/>
      <c r="AO179" s="99"/>
      <c r="AP179" s="99"/>
      <c r="AQ179" s="99"/>
      <c r="AR179" s="99"/>
    </row>
    <row r="180" spans="1:44" ht="18.75" customHeight="1">
      <c r="A180" s="562" t="str">
        <f>IF($AL179&gt;1,"2","")</f>
        <v>2</v>
      </c>
      <c r="B180" s="319" t="s">
        <v>5</v>
      </c>
      <c r="C180" s="320"/>
      <c r="D180" s="321"/>
      <c r="E180" s="322" t="str">
        <f>AU6</f>
        <v>SC Midlands KP Silver</v>
      </c>
      <c r="F180" s="323"/>
      <c r="G180" s="323"/>
      <c r="H180" s="323"/>
      <c r="I180" s="323"/>
      <c r="J180" s="323"/>
      <c r="K180" s="323"/>
      <c r="L180" s="324"/>
      <c r="M180" s="304">
        <f>IF($AL180=0,AG235,AG217)</f>
        <v>3</v>
      </c>
      <c r="N180" s="305"/>
      <c r="O180" s="305"/>
      <c r="P180" s="305"/>
      <c r="Q180" s="305"/>
      <c r="R180" s="297"/>
      <c r="S180" s="304">
        <f>IF($AL180=0,AH235,AH217)</f>
        <v>0</v>
      </c>
      <c r="T180" s="305"/>
      <c r="U180" s="305"/>
      <c r="V180" s="305"/>
      <c r="W180" s="305"/>
      <c r="X180" s="304">
        <f>AR195</f>
        <v>27</v>
      </c>
      <c r="Y180" s="305"/>
      <c r="Z180" s="305"/>
      <c r="AA180" s="563">
        <f>IF(AG229&gt;0,(AR195/AG229),0)</f>
        <v>0.15606936416184972</v>
      </c>
      <c r="AB180" s="564"/>
      <c r="AC180" s="564"/>
      <c r="AD180" s="565">
        <f>IF(AG243=0,0,(AG235/AG243))</f>
        <v>0.875</v>
      </c>
      <c r="AE180" s="566"/>
      <c r="AF180" s="567"/>
      <c r="AG180" s="331">
        <v>1</v>
      </c>
      <c r="AH180" s="331">
        <v>3</v>
      </c>
      <c r="AI180" s="333"/>
      <c r="AJ180" s="334"/>
      <c r="AK180" s="99"/>
      <c r="AL180" s="100">
        <v>1</v>
      </c>
      <c r="AM180" s="101" t="s">
        <v>24</v>
      </c>
      <c r="AN180" s="101"/>
      <c r="AO180" s="101"/>
      <c r="AP180" s="101"/>
      <c r="AQ180" s="101"/>
      <c r="AR180" s="101"/>
    </row>
    <row r="181" spans="1:44" ht="18.75" customHeight="1" thickBot="1">
      <c r="A181" s="568"/>
      <c r="B181" s="342" t="s">
        <v>6</v>
      </c>
      <c r="C181" s="343"/>
      <c r="D181" s="343"/>
      <c r="E181" s="340" t="str">
        <f>AV6</f>
        <v>fj1scmid4pm</v>
      </c>
      <c r="F181" s="341"/>
      <c r="G181" s="341"/>
      <c r="H181" s="341"/>
      <c r="I181" s="341"/>
      <c r="J181" s="341"/>
      <c r="K181" s="341"/>
      <c r="L181" s="341"/>
      <c r="M181" s="306"/>
      <c r="N181" s="307"/>
      <c r="O181" s="307"/>
      <c r="P181" s="307"/>
      <c r="Q181" s="307"/>
      <c r="R181" s="297"/>
      <c r="S181" s="306"/>
      <c r="T181" s="307"/>
      <c r="U181" s="307"/>
      <c r="V181" s="307"/>
      <c r="W181" s="307"/>
      <c r="X181" s="306"/>
      <c r="Y181" s="307"/>
      <c r="Z181" s="307"/>
      <c r="AA181" s="569"/>
      <c r="AB181" s="570"/>
      <c r="AC181" s="570"/>
      <c r="AD181" s="571"/>
      <c r="AE181" s="572"/>
      <c r="AF181" s="573"/>
      <c r="AG181" s="332"/>
      <c r="AH181" s="332"/>
      <c r="AI181" s="335"/>
      <c r="AJ181" s="336"/>
      <c r="AK181" s="99"/>
      <c r="AL181" s="100">
        <v>1</v>
      </c>
      <c r="AM181" s="101" t="s">
        <v>25</v>
      </c>
      <c r="AN181" s="99"/>
      <c r="AO181" s="99"/>
      <c r="AP181" s="99"/>
      <c r="AQ181" s="99"/>
      <c r="AR181" s="99"/>
    </row>
    <row r="182" spans="1:44" ht="18.75" customHeight="1">
      <c r="A182" s="562" t="str">
        <f>IF($AL179&gt;2,"3","")</f>
        <v>3</v>
      </c>
      <c r="B182" s="344" t="s">
        <v>5</v>
      </c>
      <c r="C182" s="345"/>
      <c r="D182" s="345"/>
      <c r="E182" s="322" t="str">
        <f>AU11</f>
        <v>Foothills Skylar</v>
      </c>
      <c r="F182" s="323"/>
      <c r="G182" s="323"/>
      <c r="H182" s="323"/>
      <c r="I182" s="323"/>
      <c r="J182" s="323"/>
      <c r="K182" s="323"/>
      <c r="L182" s="324"/>
      <c r="M182" s="304">
        <f>IF($AL180=0,AG236,AG218)</f>
        <v>0</v>
      </c>
      <c r="N182" s="305"/>
      <c r="O182" s="305"/>
      <c r="P182" s="305"/>
      <c r="Q182" s="305"/>
      <c r="R182" s="297"/>
      <c r="S182" s="304">
        <f>IF($AL180=0,AH236,AH218)</f>
        <v>4</v>
      </c>
      <c r="T182" s="305"/>
      <c r="U182" s="305"/>
      <c r="V182" s="305"/>
      <c r="W182" s="305"/>
      <c r="X182" s="304">
        <f>AR196</f>
        <v>-62</v>
      </c>
      <c r="Y182" s="305"/>
      <c r="Z182" s="305"/>
      <c r="AA182" s="563">
        <f>IF(AG230&gt;0,(AR196/AG230),0)</f>
        <v>-0.32804232804232802</v>
      </c>
      <c r="AB182" s="564"/>
      <c r="AC182" s="564"/>
      <c r="AD182" s="565">
        <f>IF(AG244=0,0,(AG236/AG244))</f>
        <v>0</v>
      </c>
      <c r="AE182" s="566"/>
      <c r="AF182" s="567"/>
      <c r="AG182" s="331">
        <v>3</v>
      </c>
      <c r="AH182" s="331">
        <v>1</v>
      </c>
      <c r="AI182" s="333"/>
      <c r="AJ182" s="334"/>
      <c r="AK182" s="103"/>
      <c r="AL182" s="100">
        <v>4</v>
      </c>
      <c r="AM182" s="152" t="s">
        <v>191</v>
      </c>
      <c r="AN182" s="101"/>
      <c r="AO182" s="101"/>
      <c r="AP182" s="101"/>
      <c r="AQ182" s="101"/>
      <c r="AR182" s="101"/>
    </row>
    <row r="183" spans="1:44" ht="18.75" customHeight="1" thickBot="1">
      <c r="A183" s="568"/>
      <c r="B183" s="342" t="s">
        <v>6</v>
      </c>
      <c r="C183" s="343"/>
      <c r="D183" s="343"/>
      <c r="E183" s="340" t="str">
        <f>AV11</f>
        <v>fj2footh3pm</v>
      </c>
      <c r="F183" s="341"/>
      <c r="G183" s="341"/>
      <c r="H183" s="341"/>
      <c r="I183" s="341"/>
      <c r="J183" s="341"/>
      <c r="K183" s="341"/>
      <c r="L183" s="341"/>
      <c r="M183" s="306"/>
      <c r="N183" s="307"/>
      <c r="O183" s="307"/>
      <c r="P183" s="307"/>
      <c r="Q183" s="307"/>
      <c r="R183" s="297"/>
      <c r="S183" s="306"/>
      <c r="T183" s="307"/>
      <c r="U183" s="307"/>
      <c r="V183" s="307"/>
      <c r="W183" s="307"/>
      <c r="X183" s="306"/>
      <c r="Y183" s="307"/>
      <c r="Z183" s="307"/>
      <c r="AA183" s="569"/>
      <c r="AB183" s="570"/>
      <c r="AC183" s="570"/>
      <c r="AD183" s="571"/>
      <c r="AE183" s="572"/>
      <c r="AF183" s="573"/>
      <c r="AG183" s="332"/>
      <c r="AH183" s="332"/>
      <c r="AI183" s="335"/>
      <c r="AJ183" s="336"/>
      <c r="AK183" s="103"/>
      <c r="AL183" s="153"/>
      <c r="AM183" s="154"/>
      <c r="AN183" s="154"/>
      <c r="AO183" s="154"/>
      <c r="AP183" s="154"/>
      <c r="AQ183" s="154"/>
      <c r="AR183" s="99"/>
    </row>
    <row r="184" spans="1:44" ht="18.75" customHeight="1">
      <c r="A184" s="562" t="str">
        <f>IF($AL179&gt;3,"4","")</f>
        <v/>
      </c>
      <c r="B184" s="344" t="s">
        <v>5</v>
      </c>
      <c r="C184" s="345"/>
      <c r="D184" s="345"/>
      <c r="E184" s="346">
        <f>AU14</f>
        <v>0</v>
      </c>
      <c r="F184" s="347"/>
      <c r="G184" s="347"/>
      <c r="H184" s="347"/>
      <c r="I184" s="347"/>
      <c r="J184" s="347"/>
      <c r="K184" s="347"/>
      <c r="L184" s="348"/>
      <c r="M184" s="304">
        <f>IF($AL180=0,AG237,AG219)</f>
        <v>0</v>
      </c>
      <c r="N184" s="305"/>
      <c r="O184" s="305"/>
      <c r="P184" s="305"/>
      <c r="Q184" s="305"/>
      <c r="R184" s="297"/>
      <c r="S184" s="304">
        <f>IF($AL180=0,AH237,AH219)</f>
        <v>0</v>
      </c>
      <c r="T184" s="305"/>
      <c r="U184" s="305"/>
      <c r="V184" s="305"/>
      <c r="W184" s="305"/>
      <c r="X184" s="304">
        <f>AR197</f>
        <v>0</v>
      </c>
      <c r="Y184" s="305"/>
      <c r="Z184" s="305"/>
      <c r="AA184" s="563">
        <f>IF(AG231&gt;0,(AR197/AG231),0)</f>
        <v>0</v>
      </c>
      <c r="AB184" s="564"/>
      <c r="AC184" s="564"/>
      <c r="AD184" s="565">
        <f>IF(AG245=0,0,(AG237/AG245))</f>
        <v>0</v>
      </c>
      <c r="AE184" s="566"/>
      <c r="AF184" s="567"/>
      <c r="AG184" s="331"/>
      <c r="AH184" s="331"/>
      <c r="AI184" s="333"/>
      <c r="AJ184" s="334"/>
      <c r="AK184" s="534"/>
      <c r="AL184" s="154"/>
      <c r="AM184" s="154"/>
      <c r="AN184" s="154"/>
      <c r="AO184" s="154"/>
      <c r="AP184" s="154"/>
      <c r="AQ184" s="154"/>
      <c r="AR184" s="101"/>
    </row>
    <row r="185" spans="1:44" ht="18.75" customHeight="1" thickBot="1">
      <c r="A185" s="568"/>
      <c r="B185" s="342" t="s">
        <v>6</v>
      </c>
      <c r="C185" s="343"/>
      <c r="D185" s="343"/>
      <c r="E185" s="757">
        <f>AV14</f>
        <v>0</v>
      </c>
      <c r="F185" s="758"/>
      <c r="G185" s="758"/>
      <c r="H185" s="758"/>
      <c r="I185" s="758"/>
      <c r="J185" s="758"/>
      <c r="K185" s="758"/>
      <c r="L185" s="758"/>
      <c r="M185" s="306"/>
      <c r="N185" s="307"/>
      <c r="O185" s="307"/>
      <c r="P185" s="307"/>
      <c r="Q185" s="307"/>
      <c r="R185" s="297"/>
      <c r="S185" s="306"/>
      <c r="T185" s="307"/>
      <c r="U185" s="307"/>
      <c r="V185" s="307"/>
      <c r="W185" s="307"/>
      <c r="X185" s="306"/>
      <c r="Y185" s="307"/>
      <c r="Z185" s="307"/>
      <c r="AA185" s="569"/>
      <c r="AB185" s="570"/>
      <c r="AC185" s="570"/>
      <c r="AD185" s="571"/>
      <c r="AE185" s="572"/>
      <c r="AF185" s="573"/>
      <c r="AG185" s="332"/>
      <c r="AH185" s="332"/>
      <c r="AI185" s="335"/>
      <c r="AJ185" s="336"/>
      <c r="AK185" s="534"/>
      <c r="AL185" s="154"/>
      <c r="AM185" s="154"/>
      <c r="AN185" s="154"/>
      <c r="AO185" s="154"/>
      <c r="AP185" s="154"/>
      <c r="AQ185" s="154"/>
      <c r="AR185" s="534"/>
    </row>
    <row r="186" spans="1:44" ht="18.75" customHeight="1">
      <c r="A186" s="562" t="str">
        <f>IF($AL179&gt;4,"5","")</f>
        <v/>
      </c>
      <c r="B186" s="344" t="s">
        <v>5</v>
      </c>
      <c r="C186" s="345"/>
      <c r="D186" s="345"/>
      <c r="E186" s="346">
        <f>AU17</f>
        <v>0</v>
      </c>
      <c r="F186" s="347"/>
      <c r="G186" s="347"/>
      <c r="H186" s="347"/>
      <c r="I186" s="347"/>
      <c r="J186" s="347"/>
      <c r="K186" s="347"/>
      <c r="L186" s="348"/>
      <c r="M186" s="304">
        <f>IF($AL180=0,AG238,AG220)</f>
        <v>0</v>
      </c>
      <c r="N186" s="305"/>
      <c r="O186" s="305"/>
      <c r="P186" s="305"/>
      <c r="Q186" s="305"/>
      <c r="R186" s="297"/>
      <c r="S186" s="304">
        <f>IF($AL180=0,AH238,AH220)</f>
        <v>0</v>
      </c>
      <c r="T186" s="305"/>
      <c r="U186" s="305"/>
      <c r="V186" s="305"/>
      <c r="W186" s="305"/>
      <c r="X186" s="304">
        <f>AR198</f>
        <v>0</v>
      </c>
      <c r="Y186" s="305"/>
      <c r="Z186" s="305"/>
      <c r="AA186" s="563">
        <f>IF(AG232&gt;0,(AR198/AG232),0)</f>
        <v>0</v>
      </c>
      <c r="AB186" s="564"/>
      <c r="AC186" s="564"/>
      <c r="AD186" s="565">
        <f>IF(AG246=0,0,(AG238/AG246))</f>
        <v>0</v>
      </c>
      <c r="AE186" s="566"/>
      <c r="AF186" s="567"/>
      <c r="AG186" s="331"/>
      <c r="AH186" s="331"/>
      <c r="AI186" s="333"/>
      <c r="AJ186" s="334"/>
      <c r="AK186" s="534"/>
      <c r="AL186" s="154"/>
      <c r="AM186" s="154"/>
      <c r="AN186" s="154"/>
      <c r="AO186" s="154"/>
      <c r="AP186" s="154"/>
      <c r="AQ186" s="154"/>
      <c r="AR186" s="534"/>
    </row>
    <row r="187" spans="1:44" ht="18.75" customHeight="1" thickBot="1">
      <c r="A187" s="568"/>
      <c r="B187" s="359" t="s">
        <v>6</v>
      </c>
      <c r="C187" s="360"/>
      <c r="D187" s="360"/>
      <c r="E187" s="361">
        <f>AV17</f>
        <v>0</v>
      </c>
      <c r="F187" s="362"/>
      <c r="G187" s="362"/>
      <c r="H187" s="362"/>
      <c r="I187" s="362"/>
      <c r="J187" s="362"/>
      <c r="K187" s="362"/>
      <c r="L187" s="362"/>
      <c r="M187" s="349"/>
      <c r="N187" s="350"/>
      <c r="O187" s="350"/>
      <c r="P187" s="350"/>
      <c r="Q187" s="350"/>
      <c r="R187" s="297"/>
      <c r="S187" s="306"/>
      <c r="T187" s="307"/>
      <c r="U187" s="307"/>
      <c r="V187" s="307"/>
      <c r="W187" s="307"/>
      <c r="X187" s="306"/>
      <c r="Y187" s="307"/>
      <c r="Z187" s="307"/>
      <c r="AA187" s="569"/>
      <c r="AB187" s="570"/>
      <c r="AC187" s="570"/>
      <c r="AD187" s="571"/>
      <c r="AE187" s="572"/>
      <c r="AF187" s="573"/>
      <c r="AG187" s="332"/>
      <c r="AH187" s="356"/>
      <c r="AI187" s="335"/>
      <c r="AJ187" s="336"/>
      <c r="AK187" s="534"/>
      <c r="AL187" s="154"/>
      <c r="AM187" s="154"/>
      <c r="AN187" s="154"/>
      <c r="AO187" s="154"/>
      <c r="AP187" s="154"/>
      <c r="AQ187" s="154"/>
      <c r="AR187" s="534"/>
    </row>
    <row r="188" spans="1:44" ht="21" customHeight="1" thickTop="1" thickBot="1">
      <c r="A188" s="106"/>
      <c r="B188" s="363" t="s">
        <v>1251</v>
      </c>
      <c r="C188" s="364"/>
      <c r="D188" s="364"/>
      <c r="E188" s="364"/>
      <c r="F188" s="364"/>
      <c r="G188" s="364"/>
      <c r="H188" s="364"/>
      <c r="I188" s="364"/>
      <c r="J188" s="364"/>
      <c r="K188" s="364"/>
      <c r="L188" s="364"/>
      <c r="M188" s="364"/>
      <c r="N188" s="364"/>
      <c r="O188" s="364"/>
      <c r="P188" s="364"/>
      <c r="Q188" s="364"/>
      <c r="R188" s="364"/>
      <c r="S188" s="364"/>
      <c r="T188" s="364"/>
      <c r="U188" s="364"/>
      <c r="V188" s="364"/>
      <c r="W188" s="364"/>
      <c r="X188" s="364"/>
      <c r="Y188" s="364"/>
      <c r="Z188" s="364"/>
      <c r="AA188" s="364"/>
      <c r="AB188" s="364"/>
      <c r="AC188" s="364"/>
      <c r="AD188" s="364"/>
      <c r="AE188" s="364"/>
      <c r="AF188" s="364"/>
      <c r="AG188" s="364"/>
      <c r="AH188" s="364"/>
      <c r="AI188" s="364"/>
      <c r="AJ188" s="365"/>
      <c r="AK188" s="534"/>
      <c r="AL188" s="154"/>
      <c r="AM188" s="154"/>
      <c r="AN188" s="154"/>
      <c r="AO188" s="154"/>
      <c r="AP188" s="154"/>
      <c r="AQ188" s="154"/>
      <c r="AR188" s="534"/>
    </row>
    <row r="189" spans="1:44" ht="13.5" customHeight="1" thickTop="1">
      <c r="A189" s="3" t="s">
        <v>27</v>
      </c>
      <c r="B189" s="372">
        <v>0.35416666666666669</v>
      </c>
      <c r="C189" s="373"/>
      <c r="D189" s="374"/>
      <c r="E189" s="372">
        <v>0.39583333333333331</v>
      </c>
      <c r="F189" s="373"/>
      <c r="G189" s="374"/>
      <c r="H189" s="372">
        <v>0.4375</v>
      </c>
      <c r="I189" s="373"/>
      <c r="J189" s="374"/>
      <c r="K189" s="587" t="s">
        <v>1252</v>
      </c>
      <c r="L189" s="372">
        <v>0.5</v>
      </c>
      <c r="M189" s="373"/>
      <c r="N189" s="374"/>
      <c r="O189" s="372">
        <v>4.1666666666666664E-2</v>
      </c>
      <c r="P189" s="373"/>
      <c r="Q189" s="374"/>
      <c r="R189" s="372">
        <v>8.3333333333333329E-2</v>
      </c>
      <c r="S189" s="373"/>
      <c r="T189" s="374"/>
      <c r="U189" s="372">
        <v>4.1666666666666664E-2</v>
      </c>
      <c r="V189" s="373"/>
      <c r="W189" s="374"/>
      <c r="X189" s="372">
        <v>7.2916666666666671E-2</v>
      </c>
      <c r="Y189" s="373"/>
      <c r="Z189" s="374"/>
      <c r="AA189" s="372">
        <v>0.10416666666666667</v>
      </c>
      <c r="AB189" s="373"/>
      <c r="AC189" s="374"/>
      <c r="AD189" s="372">
        <v>0.13541666666666666</v>
      </c>
      <c r="AE189" s="373"/>
      <c r="AF189" s="374"/>
      <c r="AG189" s="375" t="s">
        <v>199</v>
      </c>
      <c r="AH189" s="376"/>
      <c r="AI189" s="376"/>
      <c r="AJ189" s="376"/>
      <c r="AK189" s="377"/>
      <c r="AL189" s="377"/>
      <c r="AM189" s="377"/>
      <c r="AN189" s="377"/>
      <c r="AO189" s="377"/>
      <c r="AP189" s="377"/>
      <c r="AQ189" s="377"/>
      <c r="AR189" s="378"/>
    </row>
    <row r="190" spans="1:44">
      <c r="A190" s="107" t="s">
        <v>28</v>
      </c>
      <c r="B190" s="383"/>
      <c r="C190" s="384"/>
      <c r="D190" s="385"/>
      <c r="E190" s="383"/>
      <c r="F190" s="384"/>
      <c r="G190" s="385"/>
      <c r="H190" s="383"/>
      <c r="I190" s="384"/>
      <c r="J190" s="385"/>
      <c r="K190" s="588"/>
      <c r="L190" s="383"/>
      <c r="M190" s="384"/>
      <c r="N190" s="385"/>
      <c r="O190" s="383"/>
      <c r="P190" s="384"/>
      <c r="Q190" s="385"/>
      <c r="R190" s="383"/>
      <c r="S190" s="384"/>
      <c r="T190" s="385"/>
      <c r="U190" s="383"/>
      <c r="V190" s="384"/>
      <c r="W190" s="385"/>
      <c r="X190" s="383"/>
      <c r="Y190" s="384"/>
      <c r="Z190" s="385"/>
      <c r="AA190" s="383"/>
      <c r="AB190" s="384"/>
      <c r="AC190" s="385"/>
      <c r="AD190" s="383"/>
      <c r="AE190" s="384"/>
      <c r="AF190" s="385"/>
      <c r="AG190" s="375"/>
      <c r="AH190" s="376"/>
      <c r="AI190" s="376"/>
      <c r="AJ190" s="376"/>
      <c r="AK190" s="376"/>
      <c r="AL190" s="376"/>
      <c r="AM190" s="376"/>
      <c r="AN190" s="376"/>
      <c r="AO190" s="376"/>
      <c r="AP190" s="376"/>
      <c r="AQ190" s="376"/>
      <c r="AR190" s="379"/>
    </row>
    <row r="191" spans="1:44">
      <c r="A191" s="107" t="s">
        <v>29</v>
      </c>
      <c r="B191" s="383"/>
      <c r="C191" s="384"/>
      <c r="D191" s="385"/>
      <c r="E191" s="383"/>
      <c r="F191" s="384"/>
      <c r="G191" s="385"/>
      <c r="H191" s="383"/>
      <c r="I191" s="384"/>
      <c r="J191" s="385"/>
      <c r="K191" s="588"/>
      <c r="L191" s="383"/>
      <c r="M191" s="384"/>
      <c r="N191" s="385"/>
      <c r="O191" s="383"/>
      <c r="P191" s="384"/>
      <c r="Q191" s="385"/>
      <c r="R191" s="383"/>
      <c r="S191" s="384"/>
      <c r="T191" s="385"/>
      <c r="U191" s="383"/>
      <c r="V191" s="384"/>
      <c r="W191" s="385"/>
      <c r="X191" s="383"/>
      <c r="Y191" s="384"/>
      <c r="Z191" s="385"/>
      <c r="AA191" s="383"/>
      <c r="AB191" s="384"/>
      <c r="AC191" s="385"/>
      <c r="AD191" s="383"/>
      <c r="AE191" s="384"/>
      <c r="AF191" s="385"/>
      <c r="AG191" s="375"/>
      <c r="AH191" s="376"/>
      <c r="AI191" s="376"/>
      <c r="AJ191" s="376"/>
      <c r="AK191" s="376"/>
      <c r="AL191" s="376"/>
      <c r="AM191" s="376"/>
      <c r="AN191" s="376"/>
      <c r="AO191" s="376"/>
      <c r="AP191" s="376"/>
      <c r="AQ191" s="376"/>
      <c r="AR191" s="379"/>
    </row>
    <row r="192" spans="1:44" ht="13.5" thickBot="1">
      <c r="A192" s="534"/>
      <c r="B192" s="386" t="s">
        <v>30</v>
      </c>
      <c r="C192" s="387"/>
      <c r="D192" s="388"/>
      <c r="E192" s="386" t="str">
        <f>IF(AL178&gt;1,"Match 2","")</f>
        <v>Match 2</v>
      </c>
      <c r="F192" s="387"/>
      <c r="G192" s="388"/>
      <c r="H192" s="386" t="str">
        <f>IF(AL178&gt;2,"Match 3","")</f>
        <v>Match 3</v>
      </c>
      <c r="I192" s="387"/>
      <c r="J192" s="388"/>
      <c r="K192" s="588"/>
      <c r="L192" s="386" t="str">
        <f>IF(AL178&gt;3,"Match 4","")</f>
        <v>Match 4</v>
      </c>
      <c r="M192" s="387"/>
      <c r="N192" s="388"/>
      <c r="O192" s="386" t="str">
        <f>IF(AL178&gt;4,"Match 5","")</f>
        <v>Match 5</v>
      </c>
      <c r="P192" s="387"/>
      <c r="Q192" s="388"/>
      <c r="R192" s="386" t="str">
        <f>IF(AL178&gt;5,"Match 6","")</f>
        <v>Match 6</v>
      </c>
      <c r="S192" s="387"/>
      <c r="T192" s="388"/>
      <c r="U192" s="386" t="str">
        <f>IF(AL178&gt;6,"Match 7","")</f>
        <v/>
      </c>
      <c r="V192" s="387"/>
      <c r="W192" s="388"/>
      <c r="X192" s="386" t="str">
        <f>IF(AL178&gt;7,"Match 8","")</f>
        <v/>
      </c>
      <c r="Y192" s="387"/>
      <c r="Z192" s="388"/>
      <c r="AA192" s="386" t="str">
        <f>IF(AL178&gt;8,"Match 9","")</f>
        <v/>
      </c>
      <c r="AB192" s="387"/>
      <c r="AC192" s="388"/>
      <c r="AD192" s="386" t="str">
        <f>IF(AL178&gt;9,"Match 10","")</f>
        <v/>
      </c>
      <c r="AE192" s="387"/>
      <c r="AF192" s="388"/>
      <c r="AG192" s="380"/>
      <c r="AH192" s="381"/>
      <c r="AI192" s="381"/>
      <c r="AJ192" s="381"/>
      <c r="AK192" s="381"/>
      <c r="AL192" s="381"/>
      <c r="AM192" s="381"/>
      <c r="AN192" s="381"/>
      <c r="AO192" s="381"/>
      <c r="AP192" s="381"/>
      <c r="AQ192" s="381"/>
      <c r="AR192" s="382"/>
    </row>
    <row r="193" spans="1:49" ht="15.75">
      <c r="A193" s="534"/>
      <c r="B193" s="389" t="s">
        <v>33</v>
      </c>
      <c r="C193" s="390"/>
      <c r="D193" s="391"/>
      <c r="E193" s="389" t="s">
        <v>31</v>
      </c>
      <c r="F193" s="390"/>
      <c r="G193" s="391"/>
      <c r="H193" s="389" t="s">
        <v>32</v>
      </c>
      <c r="I193" s="390"/>
      <c r="J193" s="391"/>
      <c r="K193" s="588"/>
      <c r="L193" s="389" t="s">
        <v>33</v>
      </c>
      <c r="M193" s="390"/>
      <c r="N193" s="391"/>
      <c r="O193" s="389" t="s">
        <v>31</v>
      </c>
      <c r="P193" s="390"/>
      <c r="Q193" s="391"/>
      <c r="R193" s="389" t="s">
        <v>32</v>
      </c>
      <c r="S193" s="390"/>
      <c r="T193" s="391"/>
      <c r="U193" s="389" t="s">
        <v>293</v>
      </c>
      <c r="V193" s="390"/>
      <c r="W193" s="391"/>
      <c r="X193" s="389" t="s">
        <v>32</v>
      </c>
      <c r="Y193" s="390"/>
      <c r="Z193" s="391"/>
      <c r="AA193" s="389" t="s">
        <v>1214</v>
      </c>
      <c r="AB193" s="390"/>
      <c r="AC193" s="391"/>
      <c r="AD193" s="389" t="s">
        <v>33</v>
      </c>
      <c r="AE193" s="390"/>
      <c r="AF193" s="391"/>
      <c r="AG193" s="581" t="s">
        <v>34</v>
      </c>
      <c r="AH193" s="108">
        <v>1</v>
      </c>
      <c r="AI193" s="108">
        <v>2</v>
      </c>
      <c r="AJ193" s="108">
        <v>3</v>
      </c>
      <c r="AK193" s="108">
        <v>4</v>
      </c>
      <c r="AL193" s="108">
        <v>5</v>
      </c>
      <c r="AM193" s="108">
        <v>6</v>
      </c>
      <c r="AN193" s="108">
        <v>7</v>
      </c>
      <c r="AO193" s="108">
        <v>8</v>
      </c>
      <c r="AP193" s="108">
        <v>9</v>
      </c>
      <c r="AQ193" s="108">
        <v>10</v>
      </c>
      <c r="AR193" s="582" t="s">
        <v>200</v>
      </c>
    </row>
    <row r="194" spans="1:49" ht="15.75">
      <c r="A194" s="534"/>
      <c r="B194" s="109">
        <v>1</v>
      </c>
      <c r="C194" s="110" t="s">
        <v>35</v>
      </c>
      <c r="D194" s="111">
        <v>3</v>
      </c>
      <c r="E194" s="109">
        <v>2</v>
      </c>
      <c r="F194" s="110" t="str">
        <f>IF(AL178&gt;1,"v","")</f>
        <v>v</v>
      </c>
      <c r="G194" s="111">
        <v>3</v>
      </c>
      <c r="H194" s="109">
        <v>1</v>
      </c>
      <c r="I194" s="110" t="str">
        <f>IF(AL178&gt;2,"v","")</f>
        <v>v</v>
      </c>
      <c r="J194" s="111">
        <v>2</v>
      </c>
      <c r="K194" s="588"/>
      <c r="L194" s="109">
        <v>1</v>
      </c>
      <c r="M194" s="110" t="str">
        <f>IF(AL178&gt;3,"v","")</f>
        <v>v</v>
      </c>
      <c r="N194" s="111">
        <v>3</v>
      </c>
      <c r="O194" s="109">
        <v>2</v>
      </c>
      <c r="P194" s="110" t="str">
        <f>IF(AL178&gt;4,"v","")</f>
        <v>v</v>
      </c>
      <c r="Q194" s="111">
        <v>3</v>
      </c>
      <c r="R194" s="109">
        <v>1</v>
      </c>
      <c r="S194" s="110" t="str">
        <f>IF(AL178&gt;5,"v","")</f>
        <v>v</v>
      </c>
      <c r="T194" s="111">
        <v>2</v>
      </c>
      <c r="U194" s="109">
        <v>2</v>
      </c>
      <c r="V194" s="110" t="str">
        <f>IF(AL178&gt;6,"v","")</f>
        <v/>
      </c>
      <c r="W194" s="111">
        <v>3</v>
      </c>
      <c r="X194" s="109">
        <v>1</v>
      </c>
      <c r="Y194" s="110" t="str">
        <f>IF(AL178&gt;7,"v","")</f>
        <v/>
      </c>
      <c r="Z194" s="111">
        <v>5</v>
      </c>
      <c r="AA194" s="109">
        <v>3</v>
      </c>
      <c r="AB194" s="110" t="str">
        <f>IF(AL178&gt;8,"v","")</f>
        <v/>
      </c>
      <c r="AC194" s="111">
        <v>4</v>
      </c>
      <c r="AD194" s="109">
        <v>1</v>
      </c>
      <c r="AE194" s="110" t="str">
        <f>IF(AL178&gt;9,"v","")</f>
        <v/>
      </c>
      <c r="AF194" s="111">
        <v>2</v>
      </c>
      <c r="AG194" s="583" t="str">
        <f>IF(AL179&gt;0,"Team 1","")</f>
        <v>Team 1</v>
      </c>
      <c r="AH194" s="584">
        <f>IF(AL179&lt;1,"",IF(AL178&lt;1,"",IF(B194=1,B200-D200,IF(D194=1,D200-B200,""))))</f>
        <v>20</v>
      </c>
      <c r="AI194" s="584" t="str">
        <f>IF(AL179&lt;1,"",IF(AL178&lt;2,"",IF(E194=1,E200-G200,IF(G194=1,G200-E200,""))))</f>
        <v/>
      </c>
      <c r="AJ194" s="584">
        <f>IF(AL179&lt;1,"",IF(AL178&lt;3,"",IF(H194=1,H200-J200,IF(J194=1,J200-H200,""))))</f>
        <v>-4</v>
      </c>
      <c r="AK194" s="584">
        <f>IF(AL179&lt;1,"",IF(AL178&lt;4,"",IF(L194=1,L200-N200,IF(N194=1,N200-L200,""))))</f>
        <v>19</v>
      </c>
      <c r="AL194" s="584" t="str">
        <f>IF(AL179&lt;1,"",IF(AL178&lt;5,"",IF(O194=1,O200-Q200,IF(Q194=1,Q200-O200,""))))</f>
        <v/>
      </c>
      <c r="AM194" s="584">
        <f>IF(AL179&lt;1,"",IF(AL178&lt;6,"",IF(R194=1,R200-T200,IF(T194=1,T200-R200,""))))</f>
        <v>0</v>
      </c>
      <c r="AN194" s="584" t="str">
        <f>IF(AL179&lt;1,"",IF(AL178&lt;7,"",IF(U194=1,U200-W200,IF(W194=1,W200-U200,""))))</f>
        <v/>
      </c>
      <c r="AO194" s="584" t="str">
        <f>IF(AL179&lt;1,"",IF(AL178&lt;8,"",IF(X194=1,X200-Z200,IF(Z194=1,Z200-X200,""))))</f>
        <v/>
      </c>
      <c r="AP194" s="584" t="str">
        <f>IF(AL179&lt;1,"",IF(AL178&lt;9,"",IF(AA194=1,AA200-AC200,IF(AC194=1,AC200-AA200,""))))</f>
        <v/>
      </c>
      <c r="AQ194" s="584" t="str">
        <f>IF(AL179&lt;1,"",IF(AL178&lt;10,"",IF(AD194=1,AD200-AF200,IF(AF194=1,AF200-AD200,""))))</f>
        <v/>
      </c>
      <c r="AR194" s="582">
        <f>SUM(AH194:AQ194)</f>
        <v>35</v>
      </c>
    </row>
    <row r="195" spans="1:49" ht="15">
      <c r="A195" s="3" t="s">
        <v>36</v>
      </c>
      <c r="B195" s="112">
        <v>21</v>
      </c>
      <c r="C195" s="113" t="s">
        <v>37</v>
      </c>
      <c r="D195" s="114">
        <v>19</v>
      </c>
      <c r="E195" s="112">
        <v>21</v>
      </c>
      <c r="F195" s="113" t="str">
        <f>IF(AL178&gt;1,"/","")</f>
        <v>/</v>
      </c>
      <c r="G195" s="114">
        <v>20</v>
      </c>
      <c r="H195" s="112">
        <v>18</v>
      </c>
      <c r="I195" s="113" t="str">
        <f>IF(AL178&gt;2,"/","")</f>
        <v>/</v>
      </c>
      <c r="J195" s="114">
        <v>20</v>
      </c>
      <c r="K195" s="588"/>
      <c r="L195" s="112">
        <v>23</v>
      </c>
      <c r="M195" s="113" t="str">
        <f>IF(AL178&gt;3,"/","")</f>
        <v>/</v>
      </c>
      <c r="N195" s="114">
        <v>13</v>
      </c>
      <c r="O195" s="112">
        <v>25</v>
      </c>
      <c r="P195" s="113" t="str">
        <f>IF(AL178&gt;4,"/","")</f>
        <v>/</v>
      </c>
      <c r="Q195" s="114">
        <v>15</v>
      </c>
      <c r="R195" s="112">
        <v>21</v>
      </c>
      <c r="S195" s="113" t="str">
        <f>IF(AL178&gt;5,"/","")</f>
        <v>/</v>
      </c>
      <c r="T195" s="114">
        <v>17</v>
      </c>
      <c r="U195" s="112"/>
      <c r="V195" s="113" t="str">
        <f>IF(AL178&gt;6,"/","")</f>
        <v/>
      </c>
      <c r="W195" s="114"/>
      <c r="X195" s="112"/>
      <c r="Y195" s="113" t="str">
        <f>IF(AL178&gt;7,"/","")</f>
        <v/>
      </c>
      <c r="Z195" s="114"/>
      <c r="AA195" s="112"/>
      <c r="AB195" s="113" t="str">
        <f>IF(AL178&gt;8,"/","")</f>
        <v/>
      </c>
      <c r="AC195" s="114"/>
      <c r="AD195" s="112"/>
      <c r="AE195" s="113" t="str">
        <f>IF(AL178&gt;9,"/","")</f>
        <v/>
      </c>
      <c r="AF195" s="114"/>
      <c r="AG195" s="583" t="str">
        <f>IF(AL179&gt;1,"Team 2","")</f>
        <v>Team 2</v>
      </c>
      <c r="AH195" s="584" t="str">
        <f>IF(AL179&lt;2,"",IF(AL178&lt;1,"",IF(B194=2,B200-D200,IF(D194=2,D200-B200,""))))</f>
        <v/>
      </c>
      <c r="AI195" s="584">
        <f>IF(AL179&lt;2,"",IF(AL178&lt;2,"",IF(E194=2,E200-G200,IF(G194=2,G200-E200,""))))</f>
        <v>8</v>
      </c>
      <c r="AJ195" s="584">
        <f>IF(AL179&lt;2,"",IF(AL178&lt;3,"",IF(H194=2,H200-J200,IF(J194=2,J200-H200,""))))</f>
        <v>4</v>
      </c>
      <c r="AK195" s="584" t="str">
        <f>IF(AL179&lt;2,"",IF(AL178&lt;4,"",IF(L194=2,L200-N200,IF(N194=2,N200-L200,""))))</f>
        <v/>
      </c>
      <c r="AL195" s="584">
        <f>IF(AL179&lt;2,"",IF(AL178&lt;5,"",IF(O194=2,O200-Q200,IF(Q194=2,Q200-O200,""))))</f>
        <v>15</v>
      </c>
      <c r="AM195" s="584">
        <f>IF(AL179&lt;2,"",IF(AL178&lt;6,"",IF(R194=2,R200-T200,IF(T194=2,T200-R200,""))))</f>
        <v>0</v>
      </c>
      <c r="AN195" s="584" t="str">
        <f>IF(AL179&lt;2,"",IF(AL178&lt;7,"",IF(U194=2,U200-W200,IF(W194=2,W200-U200,""))))</f>
        <v/>
      </c>
      <c r="AO195" s="584" t="str">
        <f>IF(AL179&lt;2,"",IF(AL178&lt;8,"",IF(X194=2,X200-Z200,IF(Z194=2,Z200-X200,""))))</f>
        <v/>
      </c>
      <c r="AP195" s="584" t="str">
        <f>IF(AL179&lt;2,"",IF(AL178&lt;9,"",IF(AA194=2,AA200-AC200,IF(AC194=2,AC200-AA200,""))))</f>
        <v/>
      </c>
      <c r="AQ195" s="584" t="str">
        <f>IF(AL179&lt;2,"",IF(AL178&lt;10,"",IF(AD194=2,AD200-AF200,IF(AF194=2,AF200-AD200,""))))</f>
        <v/>
      </c>
      <c r="AR195" s="582">
        <f>SUM(AH195:AQ195)</f>
        <v>27</v>
      </c>
    </row>
    <row r="196" spans="1:49" ht="15">
      <c r="A196" s="46" t="str">
        <f>IF(AL177&gt;1,"Game 2","")</f>
        <v>Game 2</v>
      </c>
      <c r="B196" s="112">
        <v>28</v>
      </c>
      <c r="C196" s="113" t="s">
        <v>37</v>
      </c>
      <c r="D196" s="114">
        <v>10</v>
      </c>
      <c r="E196" s="112">
        <v>25</v>
      </c>
      <c r="F196" s="113" t="str">
        <f>IF(AL178&gt;1,IF(AL177&gt;1,"/",""),"")</f>
        <v>/</v>
      </c>
      <c r="G196" s="114">
        <v>18</v>
      </c>
      <c r="H196" s="112">
        <v>17</v>
      </c>
      <c r="I196" s="113" t="str">
        <f>IF(AL178&gt;2,IF(AL177&gt;1,"/",""),"")</f>
        <v>/</v>
      </c>
      <c r="J196" s="114">
        <v>19</v>
      </c>
      <c r="K196" s="588"/>
      <c r="L196" s="112">
        <v>24</v>
      </c>
      <c r="M196" s="113" t="str">
        <f>IF(AL178&gt;3,IF(AL177&gt;1,"/",""),"")</f>
        <v>/</v>
      </c>
      <c r="N196" s="114">
        <v>15</v>
      </c>
      <c r="O196" s="112">
        <v>22</v>
      </c>
      <c r="P196" s="113" t="str">
        <f>IF(AL178&gt;4,IF(AL177&gt;1,"/",""),"")</f>
        <v>/</v>
      </c>
      <c r="Q196" s="114">
        <v>17</v>
      </c>
      <c r="R196" s="112">
        <v>16</v>
      </c>
      <c r="S196" s="113" t="str">
        <f>IF(AL178&gt;5,IF(AL177&gt;1,"/",""),"")</f>
        <v>/</v>
      </c>
      <c r="T196" s="114">
        <v>20</v>
      </c>
      <c r="U196" s="112"/>
      <c r="V196" s="113" t="str">
        <f>IF(AL178&gt;6,IF(AL177&gt;1,"/",""),"")</f>
        <v/>
      </c>
      <c r="W196" s="114"/>
      <c r="X196" s="112"/>
      <c r="Y196" s="113" t="str">
        <f>IF(AL178&gt;7,IF(AL177&gt;1,"/",""),"")</f>
        <v/>
      </c>
      <c r="Z196" s="114"/>
      <c r="AA196" s="112"/>
      <c r="AB196" s="113" t="str">
        <f>IF(AL178&gt;8,IF(AL177&gt;1,"/",""),"")</f>
        <v/>
      </c>
      <c r="AC196" s="114"/>
      <c r="AD196" s="112"/>
      <c r="AE196" s="113" t="str">
        <f>IF(AL178&gt;9,IF(AL177&gt;1,"/",""),"")</f>
        <v/>
      </c>
      <c r="AF196" s="114"/>
      <c r="AG196" s="583" t="str">
        <f>IF(AL179&gt;2,"Team 3","")</f>
        <v>Team 3</v>
      </c>
      <c r="AH196" s="584">
        <f>IF(AL179&lt;3,"",IF(AL178&lt;1,"",IF(B194=3,B200-D200,IF(D194=3,D200-B200,""))))</f>
        <v>-20</v>
      </c>
      <c r="AI196" s="584">
        <f>IF(AL179&lt;3,"",IF(AL178&lt;2,"",IF(E194=3,E200-G200,IF(G194=3,G200-E200,""))))</f>
        <v>-8</v>
      </c>
      <c r="AJ196" s="584" t="str">
        <f>IF(AL179&lt;3,"",IF(AL178&lt;3,"",IF(H194=3,H200-J200,IF(J194=3,J200-H200,""))))</f>
        <v/>
      </c>
      <c r="AK196" s="584">
        <f>IF(AL179&lt;3,"",IF(AL178&lt;4,"",IF(L194=3,L200-N200,IF(N194=3,N200-L200,""))))</f>
        <v>-19</v>
      </c>
      <c r="AL196" s="584">
        <f>IF(AL179&lt;3,"",IF(AL178&lt;5,"",IF(O194=3,O200-Q200,IF(Q194=3,Q200-O200,""))))</f>
        <v>-15</v>
      </c>
      <c r="AM196" s="584" t="str">
        <f>IF(AL179&lt;3,"",IF(AL178&lt;6,"",IF(R194=3,R200-T200,IF(T194=3,T200-R200,""))))</f>
        <v/>
      </c>
      <c r="AN196" s="584" t="str">
        <f>IF(AL179&lt;3,"",IF(AL178&lt;7,"",IF(U194=3,U200-W200,IF(W194=3,W200-U200,""))))</f>
        <v/>
      </c>
      <c r="AO196" s="584" t="str">
        <f>IF(AL179&lt;3,"",IF(AL178&lt;8,"",IF(X194=3,X200-Z200,IF(Z194=3,Z200-X200,""))))</f>
        <v/>
      </c>
      <c r="AP196" s="584" t="str">
        <f>IF(AL179&lt;3,"",IF(AL178&lt;9,"",IF(AA194=3,AA200-AC200,IF(AC194=3,AC200-AA200,""))))</f>
        <v/>
      </c>
      <c r="AQ196" s="584" t="str">
        <f>IF(AL179&lt;3,"",IF(AL178&lt;9,"",IF(AD194=3,AD200-AF200,IF(AF194=3,AF200-AD200,""))))</f>
        <v/>
      </c>
      <c r="AR196" s="582">
        <f>SUM(AH196:AQ196)</f>
        <v>-62</v>
      </c>
    </row>
    <row r="197" spans="1:49" ht="15">
      <c r="A197" s="46" t="str">
        <f>IF(AL177&gt;2,"Game 3","")</f>
        <v/>
      </c>
      <c r="B197" s="112"/>
      <c r="C197" s="113" t="s">
        <v>37</v>
      </c>
      <c r="D197" s="114"/>
      <c r="E197" s="112"/>
      <c r="F197" s="113" t="str">
        <f>IF(AL178&gt;1,IF(AL177&gt;2,"/",""),"")</f>
        <v/>
      </c>
      <c r="G197" s="114"/>
      <c r="H197" s="112"/>
      <c r="I197" s="113" t="str">
        <f>IF(AL178&gt;2,IF(AL177&gt;2,"/",""),"")</f>
        <v/>
      </c>
      <c r="J197" s="114"/>
      <c r="K197" s="588"/>
      <c r="L197" s="112"/>
      <c r="M197" s="113" t="str">
        <f>IF(AL178&gt;3,IF(AL177&gt;2,"/",""),"")</f>
        <v/>
      </c>
      <c r="N197" s="114"/>
      <c r="O197" s="112"/>
      <c r="P197" s="113" t="str">
        <f>IF(AL178&gt;4,IF(AL177&gt;2,"/",""),"")</f>
        <v/>
      </c>
      <c r="Q197" s="114"/>
      <c r="R197" s="112"/>
      <c r="S197" s="113" t="str">
        <f>IF(AL178&gt;5,IF(AL177&gt;2,"/",""),"")</f>
        <v/>
      </c>
      <c r="T197" s="114"/>
      <c r="U197" s="112"/>
      <c r="V197" s="113" t="str">
        <f>IF(AL178&gt;6,IF(AL177&gt;2,"/",""),"")</f>
        <v/>
      </c>
      <c r="W197" s="114"/>
      <c r="X197" s="112"/>
      <c r="Y197" s="113" t="str">
        <f>IF(AL178&gt;7,IF(AL177&gt;2,"/",""),"")</f>
        <v/>
      </c>
      <c r="Z197" s="114"/>
      <c r="AA197" s="112"/>
      <c r="AB197" s="113" t="str">
        <f>IF(AL178&gt;8,IF(AL177&gt;2,"/",""),"")</f>
        <v/>
      </c>
      <c r="AC197" s="114"/>
      <c r="AD197" s="112"/>
      <c r="AE197" s="113" t="str">
        <f>IF(AL178&gt;9,IF(AL177&gt;2,"/",""),"")</f>
        <v/>
      </c>
      <c r="AF197" s="114"/>
      <c r="AG197" s="583" t="str">
        <f>IF(AL179&gt;3,"Team 4","")</f>
        <v/>
      </c>
      <c r="AH197" s="584" t="str">
        <f>IF(AL179&lt;4,"",IF(AL178&lt;1,"",IF(B194=4,B200-D200,IF(D194=4,D200-B200,""))))</f>
        <v/>
      </c>
      <c r="AI197" s="584" t="str">
        <f>IF(AL179&lt;4,"",IF(AL178&lt;2,"",IF(E194=4,E200-G200,IF(G194=4,G200-E200,""))))</f>
        <v/>
      </c>
      <c r="AJ197" s="584" t="str">
        <f>IF(AL179&lt;4,"",IF(AL178&lt;3,"",IF(H194=4,H200-J200,IF(J194=4,J200-H200,""))))</f>
        <v/>
      </c>
      <c r="AK197" s="584" t="str">
        <f>IF(AL179&lt;4,"",IF(AL178&lt;4,"",IF(L194=4,L200-N200,IF(N194=4,N200-L200,""))))</f>
        <v/>
      </c>
      <c r="AL197" s="584" t="str">
        <f>IF(AL179&lt;4,"",IF(AL178&lt;5,"",IF(O194=4,O200-Q200,IF(Q194=4,Q200-O200,""))))</f>
        <v/>
      </c>
      <c r="AM197" s="584" t="str">
        <f>IF(AL179&lt;4,"",IF(AL178&lt;6,"",IF(R194=4,R200-T200,IF(T194=4,T200-R200,""))))</f>
        <v/>
      </c>
      <c r="AN197" s="584" t="str">
        <f>IF(AL179&lt;4,"",IF(AL178&lt;7,"",IF(U194=4,U200-W200,IF(W194=4,W200-U200,""))))</f>
        <v/>
      </c>
      <c r="AO197" s="584" t="str">
        <f>IF(AL179&lt;4,"",IF(AL178&lt;8,"",IF(X194=4,X200-Z200,IF(Z194=4,Z200-X200,""))))</f>
        <v/>
      </c>
      <c r="AP197" s="584" t="str">
        <f>IF(AL179&lt;4,"",IF(AL178&lt;9,"",IF(AA194=4,AA200-AC200,IF(AC194=4,AC200-AA200,""))))</f>
        <v/>
      </c>
      <c r="AQ197" s="584" t="str">
        <f>IF(AL179&lt;4,"",IF(AL178&lt;10,"",IF(AD194=4,AD200-AF200,IF(AF194=4,AF200-AD200,""))))</f>
        <v/>
      </c>
      <c r="AR197" s="582">
        <f>SUM(AH197:AQ197)</f>
        <v>0</v>
      </c>
    </row>
    <row r="198" spans="1:49" ht="15">
      <c r="A198" s="46" t="str">
        <f>IF(AL177&gt;3,"Game 4","")</f>
        <v/>
      </c>
      <c r="B198" s="112"/>
      <c r="C198" s="113" t="s">
        <v>37</v>
      </c>
      <c r="D198" s="114"/>
      <c r="E198" s="112"/>
      <c r="F198" s="113" t="str">
        <f>IF(AL178&gt;1,IF(AL177&gt;3,"/",""),"")</f>
        <v/>
      </c>
      <c r="G198" s="114"/>
      <c r="H198" s="112"/>
      <c r="I198" s="113" t="str">
        <f>IF(AL178&gt;2,IF(AL177&gt;3,"/",""),"")</f>
        <v/>
      </c>
      <c r="J198" s="114"/>
      <c r="K198" s="588"/>
      <c r="L198" s="112"/>
      <c r="M198" s="113" t="str">
        <f>IF(AL178&gt;3,IF(AL177&gt;3,"/",""),"")</f>
        <v/>
      </c>
      <c r="N198" s="114"/>
      <c r="O198" s="112"/>
      <c r="P198" s="113" t="str">
        <f>IF(AL178&gt;4,IF(AL177&gt;3,"/",""),"")</f>
        <v/>
      </c>
      <c r="Q198" s="114"/>
      <c r="R198" s="112"/>
      <c r="S198" s="113" t="str">
        <f>IF(AL178&gt;5,IF(AL177&gt;3,"/",""),"")</f>
        <v/>
      </c>
      <c r="T198" s="114"/>
      <c r="U198" s="112"/>
      <c r="V198" s="113" t="str">
        <f>IF(AL178&gt;6,IF(AL177&gt;3,"/",""),"")</f>
        <v/>
      </c>
      <c r="W198" s="114"/>
      <c r="X198" s="112"/>
      <c r="Y198" s="113" t="str">
        <f>IF(AL178&gt;7,IF(AL177&gt;3,"/",""),"")</f>
        <v/>
      </c>
      <c r="Z198" s="114"/>
      <c r="AA198" s="112"/>
      <c r="AB198" s="113" t="str">
        <f>IF(AL178&gt;8,IF(AL177&gt;3,"/",""),"")</f>
        <v/>
      </c>
      <c r="AC198" s="114"/>
      <c r="AD198" s="112"/>
      <c r="AE198" s="113" t="str">
        <f>IF(AL178&gt;9,IF(AL177&gt;3,"/",""),"")</f>
        <v/>
      </c>
      <c r="AF198" s="114"/>
      <c r="AG198" s="583" t="str">
        <f>IF(AL179&gt;4,"Team 5","")</f>
        <v/>
      </c>
      <c r="AH198" s="585" t="str">
        <f>IF(AL179&lt;5,"",IF(AL178&lt;1,"",IF(B194=5,B200-D200,IF(D194=5,D200-B200,""))))</f>
        <v/>
      </c>
      <c r="AI198" s="584" t="str">
        <f>IF(AL179&lt;5,"",IF(AL178&lt;2,"",IF(E194=5,E200-G200,IF(G194=5,G200-E200,""))))</f>
        <v/>
      </c>
      <c r="AJ198" s="584" t="str">
        <f>IF(AL179&lt;5,"",IF(AL178&lt;3,"",IF(H194=5,H200-J200,IF(J194=5,J200-H200,""))))</f>
        <v/>
      </c>
      <c r="AK198" s="584" t="str">
        <f>IF(AL179&lt;5,"",IF(AL178&lt;4,"",IF(L194=5,L200-N200,IF(N194=5,N200-L200,""))))</f>
        <v/>
      </c>
      <c r="AL198" s="584" t="str">
        <f>IF(AL179&lt;5,"",IF(AL178&lt;5,"",IF(O194=5,O200-Q200,IF(Q194=5,Q200-O200,""))))</f>
        <v/>
      </c>
      <c r="AM198" s="584" t="str">
        <f>IF(AL179&lt;5,"",IF(AL178&lt;6,"",IF(R194=5,R200-T200,IF(T194=5,T200-R200,""))))</f>
        <v/>
      </c>
      <c r="AN198" s="584" t="str">
        <f>IF(AL179&lt;5,"",IF(AL178&lt;7,"",IF(U194=5,U200-W200,IF(W194=5,W200-U200,""))))</f>
        <v/>
      </c>
      <c r="AO198" s="584" t="str">
        <f>IF(AL179&lt;5,"",IF(AL178&lt;8,"",IF(X194=5,X200-Z200,IF(Z194=5,Z200-X200,""))))</f>
        <v/>
      </c>
      <c r="AP198" s="584" t="str">
        <f>IF(AL179&lt;5,"",IF(AL178&lt;9,"",IF(AA194=5,AA200-AC200,IF(AC194=5,AC200-AA200,""))))</f>
        <v/>
      </c>
      <c r="AQ198" s="584" t="str">
        <f>IF(AL179&lt;5,"",IF(AL178&lt;10,"",IF(AD194=5,AD200-AF200,IF(AF194=5,AF200-AD200,""))))</f>
        <v/>
      </c>
      <c r="AR198" s="582">
        <f>SUM(AH198:AQ198)</f>
        <v>0</v>
      </c>
    </row>
    <row r="199" spans="1:49" ht="15">
      <c r="A199" s="46" t="str">
        <f>IF(AL177&gt;4,"Game 5","")</f>
        <v/>
      </c>
      <c r="B199" s="112"/>
      <c r="C199" s="113" t="s">
        <v>37</v>
      </c>
      <c r="D199" s="114"/>
      <c r="E199" s="112"/>
      <c r="F199" s="113" t="str">
        <f>IF(AL178&gt;1,IF(AL177&gt;4,"/",""),"")</f>
        <v/>
      </c>
      <c r="G199" s="114"/>
      <c r="H199" s="112"/>
      <c r="I199" s="113" t="str">
        <f>IF(AL178&gt;2,IF(AL177&gt;4,"/",""),"")</f>
        <v/>
      </c>
      <c r="J199" s="114"/>
      <c r="K199" s="589"/>
      <c r="L199" s="112"/>
      <c r="M199" s="113" t="str">
        <f>IF(AL178&gt;3,IF(AL177&gt;4,"/",""),"")</f>
        <v/>
      </c>
      <c r="N199" s="114"/>
      <c r="O199" s="112"/>
      <c r="P199" s="113" t="str">
        <f>IF(AL178&gt;4,IF(AL177&gt;4,"/",""),"")</f>
        <v/>
      </c>
      <c r="Q199" s="114"/>
      <c r="R199" s="112"/>
      <c r="S199" s="113" t="str">
        <f>IF(AL178&gt;5,IF(AL177&gt;4,"/",""),"")</f>
        <v/>
      </c>
      <c r="T199" s="114"/>
      <c r="U199" s="112"/>
      <c r="V199" s="113" t="str">
        <f>IF(AL178&gt;6,IF(AL177&gt;4,"/",""),"")</f>
        <v/>
      </c>
      <c r="W199" s="114"/>
      <c r="X199" s="112"/>
      <c r="Y199" s="113" t="str">
        <f>IF(AL178&gt;7,IF(AL177&gt;4,"/",""),"")</f>
        <v/>
      </c>
      <c r="Z199" s="114"/>
      <c r="AA199" s="112"/>
      <c r="AB199" s="113" t="str">
        <f>IF(AL178&gt;8,IF(AL177&gt;4,"/",""),"")</f>
        <v/>
      </c>
      <c r="AC199" s="114"/>
      <c r="AD199" s="112"/>
      <c r="AE199" s="113" t="str">
        <f>IF(AL178&gt;9,IF(AL177&gt;4,"/",""),"")</f>
        <v/>
      </c>
      <c r="AF199" s="114"/>
      <c r="AG199" s="534"/>
      <c r="AH199" s="534"/>
      <c r="AI199" s="534"/>
      <c r="AJ199" s="534"/>
      <c r="AK199" s="534"/>
      <c r="AL199" s="534"/>
      <c r="AM199" s="534"/>
      <c r="AN199" s="534"/>
      <c r="AO199" s="534"/>
      <c r="AP199" s="534"/>
      <c r="AQ199" s="534"/>
      <c r="AR199" s="534"/>
    </row>
    <row r="200" spans="1:49" hidden="1">
      <c r="A200" s="116"/>
      <c r="B200" s="116">
        <f>IF($AL177=5,SUM(B195:B199),IF($AL177=4,SUM(B195:B198),IF($AL177=3,SUM(B195:B197),IF($AL177=2,SUM(B195:B196),B195))))</f>
        <v>49</v>
      </c>
      <c r="C200" s="116"/>
      <c r="D200" s="116">
        <f>IF($AL177=5,SUM(D195:D199),IF($AL177=4,SUM(D195:D198),IF($AL177=3,SUM(D195:D197),IF($AL177=2,SUM(D195:D196),D195))))</f>
        <v>29</v>
      </c>
      <c r="E200" s="116">
        <f>IF($AL177=5,SUM(E195:E199),IF($AL177=4,SUM(E195:E198),IF($AL177=3,SUM(E195:E197),IF($AL177=2,SUM(E195:E196),E195))))</f>
        <v>46</v>
      </c>
      <c r="F200" s="116"/>
      <c r="G200" s="116">
        <f>IF($AL177=5,SUM(G195:G199),IF($AL177=4,SUM(G195:G198),IF($AL177=3,SUM(G195:G197),IF($AL177=2,SUM(G195:G196),G195))))</f>
        <v>38</v>
      </c>
      <c r="H200" s="116">
        <f>IF($AL177=5,SUM(H195:H199),IF($AL177=4,SUM(H195:H198),IF($AL177=3,SUM(H195:H197),IF($AL177=2,SUM(H195:H196),H195))))</f>
        <v>35</v>
      </c>
      <c r="I200" s="116"/>
      <c r="J200" s="116">
        <f>IF($AL177=5,SUM(J195:J199),IF($AL177=4,SUM(J195:J198),IF($AL177=3,SUM(J195:J197),IF($AL177=2,SUM(J195:J196),J195))))</f>
        <v>39</v>
      </c>
      <c r="K200" s="116"/>
      <c r="L200" s="116">
        <f>IF($AL177=5,SUM(L195:L199),IF($AL177=4,SUM(L195:L198),IF($AL177=3,SUM(L195:L197),IF($AL177=2,SUM(L195:L196),L195))))</f>
        <v>47</v>
      </c>
      <c r="M200" s="116"/>
      <c r="N200" s="116">
        <f>IF($AL177=5,SUM(N195:N199),IF($AL177=4,SUM(N195:N198),IF($AL177=3,SUM(N195:N197),IF($AL177=2,SUM(N195:N196),N195))))</f>
        <v>28</v>
      </c>
      <c r="O200" s="116">
        <f>IF($AL177=5,SUM(O195:O199),IF($AL177=4,SUM(O195:O198),IF($AL177=3,SUM(O195:O197),IF($AL177=2,SUM(O195:O196),O195))))</f>
        <v>47</v>
      </c>
      <c r="P200" s="116"/>
      <c r="Q200" s="116">
        <f>IF($AL177=5,SUM(Q195:Q199),IF($AL177=4,SUM(Q195:Q198),IF($AL177=3,SUM(Q195:Q197),IF($AL177=2,SUM(Q195:Q196),Q195))))</f>
        <v>32</v>
      </c>
      <c r="R200" s="116">
        <f>IF($AL177=5,SUM(R195:R199),IF($AL177=4,SUM(R195:R198),IF($AL177=3,SUM(R195:R197),IF($AL177=2,SUM(R195:R196),R195))))</f>
        <v>37</v>
      </c>
      <c r="S200" s="116"/>
      <c r="T200" s="116">
        <f>IF($AL177=5,SUM(T195:T199),IF($AL177=4,SUM(T195:T198),IF($AL177=3,SUM(T195:T197),IF($AL177=2,SUM(T195:T196),T195))))</f>
        <v>37</v>
      </c>
      <c r="U200" s="116">
        <f>IF($AL177=5,SUM(U195:U199),IF($AL177=4,SUM(U195:U198),IF($AL177=3,SUM(U195:U197),IF($AL177=2,SUM(U195:U196),U195))))</f>
        <v>0</v>
      </c>
      <c r="V200" s="116"/>
      <c r="W200" s="116">
        <f>IF($AL177=5,SUM(W195:W199),IF($AL177=4,SUM(W195:W198),IF($AL177=3,SUM(W195:W197),IF($AL177=2,SUM(W195:W196),W195))))</f>
        <v>0</v>
      </c>
      <c r="X200" s="116">
        <f>IF($AL177=5,SUM(X195:X199),IF($AL177=4,SUM(X195:X198),IF($AL177=3,SUM(X195:X197),IF($AL177=2,SUM(X195:X196),X195))))</f>
        <v>0</v>
      </c>
      <c r="Y200" s="116"/>
      <c r="Z200" s="116">
        <f>IF($AL177=5,SUM(Z195:Z199),IF($AL177=4,SUM(Z195:Z198),IF($AL177=3,SUM(Z195:Z197),IF($AL177=2,SUM(Z195:Z196),Z195))))</f>
        <v>0</v>
      </c>
      <c r="AA200" s="116">
        <f>IF($AL177=5,SUM(AA195:AA199),IF($AL177=4,SUM(AA195:AA198),IF($AL177=3,SUM(AA195:AA197),IF($AL177=2,SUM(AA195:AA196),AA195))))</f>
        <v>0</v>
      </c>
      <c r="AB200" s="116"/>
      <c r="AC200" s="116">
        <f>IF($AL177=5,SUM(AC195:AC199),IF($AL177=4,SUM(AC195:AC198),IF($AL177=3,SUM(AC195:AC197),IF($AL177=2,SUM(AC195:AC196),AC195))))</f>
        <v>0</v>
      </c>
      <c r="AD200" s="116">
        <f>IF($AL177=5,SUM(AD195:AD199),IF($AL177=4,SUM(AD195:AD198),IF($AL177=3,SUM(AD195:AD197),IF($AL177=2,SUM(AD195:AD196),AD195))))</f>
        <v>0</v>
      </c>
      <c r="AE200" s="116"/>
      <c r="AF200" s="116">
        <f>IF($AL177=5,SUM(AF195:AF199),IF($AL177=4,SUM(AF195:AF198),IF($AL177=3,SUM(AF195:AF197),IF($AL177=2,SUM(AF195:AF196),AF195))))</f>
        <v>0</v>
      </c>
      <c r="AG200" s="534"/>
      <c r="AH200" s="534"/>
      <c r="AI200" s="534"/>
      <c r="AJ200" s="534"/>
      <c r="AK200" s="534"/>
      <c r="AL200" s="534"/>
      <c r="AM200" s="534"/>
      <c r="AN200" s="534"/>
      <c r="AO200" s="534"/>
      <c r="AP200" s="534"/>
      <c r="AQ200" s="534"/>
      <c r="AR200" s="534"/>
    </row>
    <row r="201" spans="1:49" s="115" customFormat="1" ht="12.75" hidden="1" customHeight="1">
      <c r="A201" s="115" t="s">
        <v>201</v>
      </c>
      <c r="B201" s="164">
        <f>IF(AND(B195&gt;D195,$AL178&gt;0,ISNUMBER(B195),ISNUMBER(D195)),1,0)</f>
        <v>1</v>
      </c>
      <c r="C201" s="164"/>
      <c r="D201" s="165">
        <f>IF(AND(D195&gt;B195,$AL178&gt;0,ISNUMBER(B195),ISNUMBER(D195)),1,0)</f>
        <v>0</v>
      </c>
      <c r="E201" s="164">
        <f>IF(AND(E195&gt;G195,$AL178&gt;1,ISNUMBER(E195),ISNUMBER(G195)),1,0)</f>
        <v>1</v>
      </c>
      <c r="F201" s="164"/>
      <c r="G201" s="165">
        <f>IF(AND(G195&gt;E195,$AL178&gt;1,ISNUMBER(E195),ISNUMBER(G195)),1,0)</f>
        <v>0</v>
      </c>
      <c r="H201" s="164">
        <f>IF(AND(H195&gt;J195,$AL178&gt;2,ISNUMBER(H195),ISNUMBER(J195)),1,0)</f>
        <v>0</v>
      </c>
      <c r="I201" s="164"/>
      <c r="J201" s="165">
        <f>IF(AND(J195&gt;H195,$AL178&gt;2,ISNUMBER(H195),ISNUMBER(J195)),1,0)</f>
        <v>1</v>
      </c>
      <c r="K201" s="168"/>
      <c r="L201" s="164">
        <f>IF(AND(L195&gt;N195,$AL178&gt;3,ISNUMBER(L195),ISNUMBER(N195)),1,0)</f>
        <v>1</v>
      </c>
      <c r="M201" s="164"/>
      <c r="N201" s="165">
        <f>IF(AND(N195&gt;L195,$AL178&gt;3,ISNUMBER(L195),ISNUMBER(N195)),1,0)</f>
        <v>0</v>
      </c>
      <c r="O201" s="164">
        <f>IF(AND(O195&gt;Q195,$AL178&gt;4,ISNUMBER(O195),ISNUMBER(Q195)),1,0)</f>
        <v>1</v>
      </c>
      <c r="P201" s="164"/>
      <c r="Q201" s="165">
        <f>IF(AND(Q195&gt;O195,$AL178&gt;4,ISNUMBER(O195),ISNUMBER(Q195)),1,0)</f>
        <v>0</v>
      </c>
      <c r="R201" s="164">
        <f>IF(AND(R195&gt;T195,$AL178&gt;5,ISNUMBER(R195),ISNUMBER(T195)),1,0)</f>
        <v>1</v>
      </c>
      <c r="S201" s="164"/>
      <c r="T201" s="165">
        <f>IF(AND(T195&gt;R195,$AL178&gt;5,ISNUMBER(R195),ISNUMBER(T195)),1,0)</f>
        <v>0</v>
      </c>
      <c r="U201" s="164">
        <f>IF(AND(U195&gt;W195,$AL178&gt;6,ISNUMBER(U195),ISNUMBER(W195)),1,0)</f>
        <v>0</v>
      </c>
      <c r="V201" s="164"/>
      <c r="W201" s="165">
        <f>IF(AND(W195&gt;U195,$AL178&gt;6,ISNUMBER(U195),ISNUMBER(W195)),1,0)</f>
        <v>0</v>
      </c>
      <c r="X201" s="164">
        <f>IF(AND(X195&gt;Z195,$AL178&gt;7,ISNUMBER(X195),ISNUMBER(Z195)),1,0)</f>
        <v>0</v>
      </c>
      <c r="Y201" s="164"/>
      <c r="Z201" s="165">
        <f>IF(AND(Z195&gt;X195,$AL178&gt;7,ISNUMBER(X195),ISNUMBER(Z195)),1,0)</f>
        <v>0</v>
      </c>
      <c r="AA201" s="164">
        <f>IF(AND(AA195&gt;AC195,$AL178&gt;8,ISNUMBER(AA195),ISNUMBER(AC195)),1,0)</f>
        <v>0</v>
      </c>
      <c r="AB201" s="164"/>
      <c r="AC201" s="165">
        <f>IF(AND(AC195&gt;AA195,$AL178&gt;8,ISNUMBER(AA195),ISNUMBER(AC195)),1,0)</f>
        <v>0</v>
      </c>
      <c r="AD201" s="164">
        <f>IF(AND(AD195&gt;AF195,$AL178&gt;9,ISNUMBER(AD195),ISNUMBER(AF195)),1,0)</f>
        <v>0</v>
      </c>
      <c r="AE201" s="164"/>
      <c r="AF201" s="165">
        <f>IF(AND(AF195&gt;AD195,$AL178&gt;9,ISNUMBER(AD195),ISNUMBER(AF195)),1,0)</f>
        <v>0</v>
      </c>
      <c r="AW201" s="166"/>
    </row>
    <row r="202" spans="1:49" s="115" customFormat="1" ht="12.75" hidden="1" customHeight="1">
      <c r="A202" s="115" t="s">
        <v>202</v>
      </c>
      <c r="B202" s="164">
        <f>IF(AND(B196&gt;D196,$AL178&gt;0,$AL177&gt;1,ISNUMBER(B196),ISNUMBER(D196)),1,0)</f>
        <v>1</v>
      </c>
      <c r="C202" s="164"/>
      <c r="D202" s="165">
        <f>IF(AND(D196&gt;B196,$AL178&gt;0,$AL177&gt;1,ISNUMBER(B196),ISNUMBER(D196)),1,0)</f>
        <v>0</v>
      </c>
      <c r="E202" s="164">
        <f>IF(AND(E196&gt;G196,$AL178&gt;1,$AL177&gt;1,ISNUMBER(E196),ISNUMBER(G196)),1,0)</f>
        <v>1</v>
      </c>
      <c r="F202" s="164"/>
      <c r="G202" s="165">
        <f>IF(AND(G196&gt;E196,$AL178&gt;1,$AL177&gt;1,ISNUMBER(E196),ISNUMBER(G196)),1,0)</f>
        <v>0</v>
      </c>
      <c r="H202" s="164">
        <f>IF(AND(H196&gt;J196,$AL178&gt;2,$AL177&gt;1,ISNUMBER(H196),ISNUMBER(J196)),1,0)</f>
        <v>0</v>
      </c>
      <c r="I202" s="164"/>
      <c r="J202" s="165">
        <f>IF(AND(J196&gt;H196,$AL178&gt;2,$AL177&gt;1,ISNUMBER(H196),ISNUMBER(J196)),1,0)</f>
        <v>1</v>
      </c>
      <c r="K202" s="168"/>
      <c r="L202" s="164">
        <f>IF(AND(L196&gt;N196,$AL178&gt;3,$AL177&gt;1,ISNUMBER(L196),ISNUMBER(N196)),1,0)</f>
        <v>1</v>
      </c>
      <c r="M202" s="164"/>
      <c r="N202" s="165">
        <f>IF(AND(N196&gt;L196,$AL178&gt;3,$AL177&gt;1,ISNUMBER(L196),ISNUMBER(N196)),1,0)</f>
        <v>0</v>
      </c>
      <c r="O202" s="164">
        <f>IF(AND(O196&gt;Q196,$AL178&gt;4,$AL177&gt;1,ISNUMBER(O196),ISNUMBER(Q196)),1,0)</f>
        <v>1</v>
      </c>
      <c r="P202" s="164"/>
      <c r="Q202" s="165">
        <f>IF(AND(Q196&gt;O196,$AL178&gt;4,$AL177&gt;1,ISNUMBER(O196),ISNUMBER(Q196)),1,0)</f>
        <v>0</v>
      </c>
      <c r="R202" s="164">
        <f>IF(AND(R196&gt;T196,$AL178&gt;5,$AL177&gt;1,ISNUMBER(R196),ISNUMBER(T196)),1,0)</f>
        <v>0</v>
      </c>
      <c r="S202" s="164"/>
      <c r="T202" s="165">
        <f>IF(AND(T196&gt;R196,$AL178&gt;5,$AL177&gt;1,ISNUMBER(R196),ISNUMBER(T196)),1,0)</f>
        <v>1</v>
      </c>
      <c r="U202" s="164">
        <f>IF(AND(U196&gt;W196,$AL178&gt;6,$AL177&gt;1,ISNUMBER(U196),ISNUMBER(W196)),1,0)</f>
        <v>0</v>
      </c>
      <c r="V202" s="164"/>
      <c r="W202" s="165">
        <f>IF(AND(W196&gt;U196,$AL178&gt;6,$AL177&gt;1,ISNUMBER(U196),ISNUMBER(W196)),1,0)</f>
        <v>0</v>
      </c>
      <c r="X202" s="164">
        <f>IF(AND(X196&gt;Z196,$AL178&gt;7,$AL177&gt;1,ISNUMBER(X196),ISNUMBER(Z196)),1,0)</f>
        <v>0</v>
      </c>
      <c r="Y202" s="164"/>
      <c r="Z202" s="165">
        <f>IF(AND(Z196&gt;X196,$AL178&gt;7,$AL177&gt;1,ISNUMBER(X196),ISNUMBER(Z196)),1,0)</f>
        <v>0</v>
      </c>
      <c r="AA202" s="164">
        <f>IF(AND(AA196&gt;AC196,$AL178&gt;8,$AL177&gt;1,ISNUMBER(AA196),ISNUMBER(AC196)),1,0)</f>
        <v>0</v>
      </c>
      <c r="AB202" s="164"/>
      <c r="AC202" s="165">
        <f>IF(AND(AC196&gt;AA196,$AL178&gt;8,$AL177&gt;1,ISNUMBER(AA196),ISNUMBER(AC196)),1,0)</f>
        <v>0</v>
      </c>
      <c r="AD202" s="164">
        <f>IF(AND(AD196&gt;AF196,$AL178&gt;9,$AL177&gt;1,ISNUMBER(AD196),ISNUMBER(AF196)),1,0)</f>
        <v>0</v>
      </c>
      <c r="AE202" s="164"/>
      <c r="AF202" s="165">
        <f>IF(AND(AF196&gt;AD196,$AL178&gt;9,$AL177&gt;1,ISNUMBER(AD196),ISNUMBER(AF196)),1,0)</f>
        <v>0</v>
      </c>
      <c r="AW202" s="166"/>
    </row>
    <row r="203" spans="1:49" s="115" customFormat="1" ht="12.75" hidden="1" customHeight="1">
      <c r="A203" s="115" t="s">
        <v>203</v>
      </c>
      <c r="B203" s="164">
        <f>IF(AND(B197&gt;D197,$AL178&gt;0,$AL177&gt;2,ISNUMBER(B197),ISNUMBER(D197)),1,0)</f>
        <v>0</v>
      </c>
      <c r="C203" s="164"/>
      <c r="D203" s="165">
        <f>IF(AND(D197&gt;B197,$AL178&gt;0,$AL177&gt;2,ISNUMBER(B197),ISNUMBER(D197)),1,0)</f>
        <v>0</v>
      </c>
      <c r="E203" s="164">
        <f>IF(AND(E197&gt;G197,$AL178&gt;1,$AL177&gt;2,ISNUMBER(E197),ISNUMBER(G197)),1,0)</f>
        <v>0</v>
      </c>
      <c r="F203" s="164"/>
      <c r="G203" s="165">
        <f>IF(AND(G197&gt;E197,$AL178&gt;1,$AL177&gt;2,ISNUMBER(E197),ISNUMBER(G197)),1,0)</f>
        <v>0</v>
      </c>
      <c r="H203" s="164">
        <f>IF(AND(H197&gt;J197,$AL178&gt;2,$AL177&gt;2,ISNUMBER(H197),ISNUMBER(J197)),1,0)</f>
        <v>0</v>
      </c>
      <c r="I203" s="164"/>
      <c r="J203" s="165">
        <f>IF(AND(J197&gt;H197,$AL178&gt;2,$AL177&gt;2,ISNUMBER(H197),ISNUMBER(J197)),1,0)</f>
        <v>0</v>
      </c>
      <c r="K203" s="168"/>
      <c r="L203" s="164">
        <f>IF(AND(L197&gt;N197,$AL178&gt;3,$AL177&gt;2,ISNUMBER(L197),ISNUMBER(N197)),1,0)</f>
        <v>0</v>
      </c>
      <c r="M203" s="164"/>
      <c r="N203" s="165">
        <f>IF(AND(N197&gt;L197,$AL178&gt;3,$AL177&gt;2,ISNUMBER(L197),ISNUMBER(N197)),1,0)</f>
        <v>0</v>
      </c>
      <c r="O203" s="164">
        <f>IF(AND(O197&gt;Q197,$AL178&gt;4,$AL177&gt;2,ISNUMBER(O197),ISNUMBER(Q197)),1,0)</f>
        <v>0</v>
      </c>
      <c r="P203" s="164"/>
      <c r="Q203" s="165">
        <f>IF(AND(Q197&gt;O197,$AL178&gt;4,$AL177&gt;2,ISNUMBER(O197),ISNUMBER(Q197)),1,0)</f>
        <v>0</v>
      </c>
      <c r="R203" s="164">
        <f>IF(AND(R197&gt;T197,$AL178&gt;5,$AL177&gt;2,ISNUMBER(R197),ISNUMBER(T197)),1,0)</f>
        <v>0</v>
      </c>
      <c r="S203" s="164"/>
      <c r="T203" s="165">
        <f>IF(AND(T197&gt;R197,$AL178&gt;5,$AL177&gt;2,ISNUMBER(R197),ISNUMBER(T197)),1,0)</f>
        <v>0</v>
      </c>
      <c r="U203" s="164">
        <f>IF(AND(U197&gt;W197,$AL178&gt;6,$AL177&gt;2,ISNUMBER(U197),ISNUMBER(W197)),1,0)</f>
        <v>0</v>
      </c>
      <c r="V203" s="164"/>
      <c r="W203" s="165">
        <f>IF(AND(W197&gt;U197,$AL178&gt;6,$AL177&gt;2,ISNUMBER(U197),ISNUMBER(W197)),1,0)</f>
        <v>0</v>
      </c>
      <c r="X203" s="164">
        <f>IF(AND(X197&gt;Z197,$AL178&gt;7,$AL177&gt;2,ISNUMBER(X197),ISNUMBER(Z197)),1,0)</f>
        <v>0</v>
      </c>
      <c r="Y203" s="164"/>
      <c r="Z203" s="165">
        <f>IF(AND(Z197&gt;X197,$AL178&gt;7,$AL177&gt;2,ISNUMBER(X197),ISNUMBER(Z197)),1,0)</f>
        <v>0</v>
      </c>
      <c r="AA203" s="164">
        <f>IF(AND(AA197&gt;AC197,$AL178&gt;8,$AL177&gt;2,ISNUMBER(AA197),ISNUMBER(AC197)),1,0)</f>
        <v>0</v>
      </c>
      <c r="AB203" s="164"/>
      <c r="AC203" s="165">
        <f>IF(AND(AC197&gt;AA197,$AL178&gt;8,$AL177&gt;2,ISNUMBER(AA197),ISNUMBER(AC197)),1,0)</f>
        <v>0</v>
      </c>
      <c r="AD203" s="164">
        <f>IF(AND(AD197&gt;AF197,$AL178&gt;9,$AL177&gt;2,ISNUMBER(AD197),ISNUMBER(AF197)),1,0)</f>
        <v>0</v>
      </c>
      <c r="AE203" s="164"/>
      <c r="AF203" s="165">
        <f>IF(AND(AF197&gt;AD197,$AL178&gt;9,$AL177&gt;2,ISNUMBER(AD197),ISNUMBER(AF197)),1,0)</f>
        <v>0</v>
      </c>
      <c r="AW203" s="166"/>
    </row>
    <row r="204" spans="1:49" s="115" customFormat="1" ht="12.75" hidden="1" customHeight="1">
      <c r="A204" s="115" t="s">
        <v>204</v>
      </c>
      <c r="B204" s="164">
        <f>IF(AND(B198&gt;D198,$AL178&gt;0,$AL177&gt;3,ISNUMBER(B198),ISNUMBER(D198)),1,0)</f>
        <v>0</v>
      </c>
      <c r="C204" s="164"/>
      <c r="D204" s="165">
        <f>IF(AND(D198&gt;B198,$AL178&gt;0,$AL177&gt;3,ISNUMBER(B198),ISNUMBER(D198)),1,0)</f>
        <v>0</v>
      </c>
      <c r="E204" s="164">
        <f>IF(AND(E198&gt;G198,$AL178&gt;1,$AL177&gt;3,ISNUMBER(E198),ISNUMBER(G198)),1,0)</f>
        <v>0</v>
      </c>
      <c r="F204" s="164"/>
      <c r="G204" s="165">
        <f>IF(AND(G198&gt;E198,$AL178&gt;1,$AL177&gt;3,ISNUMBER(E198),ISNUMBER(G198)),1,0)</f>
        <v>0</v>
      </c>
      <c r="H204" s="164">
        <f>IF(AND(H198&gt;J198,$AL178&gt;2,$AL177&gt;3,ISNUMBER(H198),ISNUMBER(J198)),1,0)</f>
        <v>0</v>
      </c>
      <c r="I204" s="164"/>
      <c r="J204" s="165">
        <f>IF(AND(J198&gt;H198,$AL178&gt;2,$AL177&gt;3,ISNUMBER(H198),ISNUMBER(J198)),1,0)</f>
        <v>0</v>
      </c>
      <c r="K204" s="168"/>
      <c r="L204" s="164">
        <f>IF(AND(L198&gt;N198,$AL178&gt;3,$AL177&gt;3,ISNUMBER(L198),ISNUMBER(N198)),1,0)</f>
        <v>0</v>
      </c>
      <c r="M204" s="164"/>
      <c r="N204" s="165">
        <f>IF(AND(N198&gt;L198,$AL178&gt;3,$AL177&gt;3,ISNUMBER(L198),ISNUMBER(N198)),1,0)</f>
        <v>0</v>
      </c>
      <c r="O204" s="164">
        <f>IF(AND(O198&gt;Q198,$AL178&gt;4,$AL177&gt;3,ISNUMBER(O198),ISNUMBER(Q198)),1,0)</f>
        <v>0</v>
      </c>
      <c r="P204" s="164"/>
      <c r="Q204" s="165">
        <f>IF(AND(Q198&gt;O198,$AL178&gt;4,$AL177&gt;3,ISNUMBER(O198),ISNUMBER(Q198)),1,0)</f>
        <v>0</v>
      </c>
      <c r="R204" s="164">
        <f>IF(AND(R198&gt;T198,$AL178&gt;5,$AL177&gt;3,ISNUMBER(R198),ISNUMBER(T198)),1,0)</f>
        <v>0</v>
      </c>
      <c r="S204" s="164"/>
      <c r="T204" s="165">
        <f>IF(AND(T198&gt;R198,$AL178&gt;5,$AL177&gt;3,ISNUMBER(R198),ISNUMBER(T198)),1,0)</f>
        <v>0</v>
      </c>
      <c r="U204" s="164">
        <f>IF(AND(U198&gt;W198,$AL178&gt;6,$AL177&gt;3,ISNUMBER(U198),ISNUMBER(W198)),1,0)</f>
        <v>0</v>
      </c>
      <c r="V204" s="164"/>
      <c r="W204" s="165">
        <f>IF(AND(W198&gt;U198,$AL178&gt;6,$AL177&gt;3,ISNUMBER(U198),ISNUMBER(W198)),1,0)</f>
        <v>0</v>
      </c>
      <c r="X204" s="164">
        <f>IF(AND(X198&gt;Z198,$AL178&gt;7,$AL177&gt;3,ISNUMBER(X198),ISNUMBER(Z198)),1,0)</f>
        <v>0</v>
      </c>
      <c r="Y204" s="164"/>
      <c r="Z204" s="165">
        <f>IF(AND(Z198&gt;X198,$AL178&gt;7,$AL177&gt;3,ISNUMBER(X198),ISNUMBER(Z198)),1,0)</f>
        <v>0</v>
      </c>
      <c r="AA204" s="164">
        <f>IF(AND(AA198&gt;AC198,$AL178&gt;8,$AL177&gt;3,ISNUMBER(AA198),ISNUMBER(AC198)),1,0)</f>
        <v>0</v>
      </c>
      <c r="AB204" s="164"/>
      <c r="AC204" s="165">
        <f>IF(AND(AC198&gt;AA198,$AL178&gt;8,$AL177&gt;3,ISNUMBER(AA198),ISNUMBER(AC198)),1,0)</f>
        <v>0</v>
      </c>
      <c r="AD204" s="164">
        <f>IF(AND(AD198&gt;AF198,$AL178&gt;9,$AL177&gt;3,ISNUMBER(AD198),ISNUMBER(AF198)),1,0)</f>
        <v>0</v>
      </c>
      <c r="AE204" s="164"/>
      <c r="AF204" s="165">
        <f>IF(AND(AF198&gt;AD198,$AL178&gt;9,$AL177&gt;3,ISNUMBER(AD198),ISNUMBER(AF198)),1,0)</f>
        <v>0</v>
      </c>
      <c r="AW204" s="166"/>
    </row>
    <row r="205" spans="1:49" s="115" customFormat="1" ht="12.75" hidden="1" customHeight="1">
      <c r="A205" s="115" t="s">
        <v>205</v>
      </c>
      <c r="B205" s="164">
        <f>IF(AND(B199&gt;D199,$AL178&gt;0,$AL177&gt;4,ISNUMBER(B199),ISNUMBER(D199)),1,0)</f>
        <v>0</v>
      </c>
      <c r="C205" s="164"/>
      <c r="D205" s="165">
        <f>IF(AND(D199&gt;B199,$AL178&gt;0,$AL177&gt;4,ISNUMBER(B199),ISNUMBER(D199)),1,0)</f>
        <v>0</v>
      </c>
      <c r="E205" s="164">
        <f>IF(AND(E199&gt;G199,$AL178&gt;1,$AL177&gt;4,ISNUMBER(E199),ISNUMBER(G199)),1,0)</f>
        <v>0</v>
      </c>
      <c r="F205" s="164"/>
      <c r="G205" s="165">
        <f>IF(AND(G199&gt;E199,$AL178&gt;1,$AL177&gt;4,ISNUMBER(E199),ISNUMBER(G199)),1,0)</f>
        <v>0</v>
      </c>
      <c r="H205" s="164">
        <f>IF(AND(H199&gt;J199,$AL178&gt;2,$AL177&gt;4,ISNUMBER(H199),ISNUMBER(J199)),1,0)</f>
        <v>0</v>
      </c>
      <c r="I205" s="164"/>
      <c r="J205" s="165">
        <f>IF(AND(J199&gt;H199,$AL178&gt;2,$AL177&gt;4,ISNUMBER(H199),ISNUMBER(J199)),1,0)</f>
        <v>0</v>
      </c>
      <c r="K205" s="168"/>
      <c r="L205" s="164">
        <f>IF(AND(L199&gt;N199,$AL178&gt;3,$AL177&gt;4,ISNUMBER(L199),ISNUMBER(N199)),1,0)</f>
        <v>0</v>
      </c>
      <c r="M205" s="164"/>
      <c r="N205" s="165">
        <f>IF(AND(N199&gt;L199,$AL178&gt;3,$AL177&gt;4,ISNUMBER(L199),ISNUMBER(N199)),1,0)</f>
        <v>0</v>
      </c>
      <c r="O205" s="164">
        <f>IF(AND(O199&gt;Q199,$AL178&gt;4,$AL177&gt;4,ISNUMBER(O199),ISNUMBER(Q199)),1,0)</f>
        <v>0</v>
      </c>
      <c r="P205" s="164"/>
      <c r="Q205" s="165">
        <f>IF(AND(Q199&gt;O199,$AL178&gt;4,$AL177&gt;4,ISNUMBER(O199),ISNUMBER(Q199)),1,0)</f>
        <v>0</v>
      </c>
      <c r="R205" s="164">
        <f>IF(AND(R199&gt;T199,$AL178&gt;5,$AL177&gt;4,ISNUMBER(R199),ISNUMBER(T199)),1,0)</f>
        <v>0</v>
      </c>
      <c r="S205" s="164"/>
      <c r="T205" s="165">
        <f>IF(AND(T199&gt;R199,$AL178&gt;5,$AL177&gt;4,ISNUMBER(R199),ISNUMBER(T199)),1,0)</f>
        <v>0</v>
      </c>
      <c r="U205" s="164">
        <f>IF(AND(U199&gt;W199,$AL178&gt;6,$AL177&gt;4,ISNUMBER(U199),ISNUMBER(W199)),1,0)</f>
        <v>0</v>
      </c>
      <c r="V205" s="164"/>
      <c r="W205" s="165">
        <f>IF(AND(W199&gt;U199,$AL178&gt;6,$AL177&gt;4,ISNUMBER(U199),ISNUMBER(W199)),1,0)</f>
        <v>0</v>
      </c>
      <c r="X205" s="164">
        <f>IF(AND(X199&gt;Z199,$AL178&gt;7,$AL177&gt;4,ISNUMBER(X199),ISNUMBER(Z199)),1,0)</f>
        <v>0</v>
      </c>
      <c r="Y205" s="164"/>
      <c r="Z205" s="165">
        <f>IF(AND(Z199&gt;X199,$AL178&gt;7,$AL177&gt;4,ISNUMBER(X199),ISNUMBER(Z199)),1,0)</f>
        <v>0</v>
      </c>
      <c r="AA205" s="164">
        <f>IF(AND(AA199&gt;AC199,$AL178&gt;8,$AL177&gt;4,ISNUMBER(AA199),ISNUMBER(AC199)),1,0)</f>
        <v>0</v>
      </c>
      <c r="AB205" s="164"/>
      <c r="AC205" s="165">
        <f>IF(AND(AC199&gt;AA199,$AL178&gt;8,$AL177&gt;4,ISNUMBER(AA199),ISNUMBER(AC199)),1,0)</f>
        <v>0</v>
      </c>
      <c r="AD205" s="164">
        <f>IF(AND(AD199&gt;AF199,$AL178&gt;9,$AL177&gt;4,ISNUMBER(AD199),ISNUMBER(AF199)),1,0)</f>
        <v>0</v>
      </c>
      <c r="AE205" s="164"/>
      <c r="AF205" s="165">
        <f>IF(AND(AF199&gt;AD199,$AL178&gt;9,$AL177&gt;4,ISNUMBER(AD199),ISNUMBER(AF199)),1,0)</f>
        <v>0</v>
      </c>
      <c r="AW205" s="166"/>
    </row>
    <row r="206" spans="1:49" s="115" customFormat="1" ht="38.25" hidden="1" customHeight="1">
      <c r="A206" s="167" t="s">
        <v>206</v>
      </c>
      <c r="B206" s="115">
        <f>SUM(B201:B205)</f>
        <v>2</v>
      </c>
      <c r="D206" s="168">
        <f>SUM(D201:D205)</f>
        <v>0</v>
      </c>
      <c r="E206" s="115">
        <f>SUM(E201:E205)</f>
        <v>2</v>
      </c>
      <c r="G206" s="168">
        <f>SUM(G201:G205)</f>
        <v>0</v>
      </c>
      <c r="H206" s="115">
        <f>SUM(H201:H205)</f>
        <v>0</v>
      </c>
      <c r="J206" s="168">
        <f>SUM(J201:J205)</f>
        <v>2</v>
      </c>
      <c r="K206" s="168"/>
      <c r="L206" s="115">
        <f>SUM(L201:L205)</f>
        <v>2</v>
      </c>
      <c r="N206" s="168">
        <f>SUM(N201:N205)</f>
        <v>0</v>
      </c>
      <c r="O206" s="115">
        <f>SUM(O201:O205)</f>
        <v>2</v>
      </c>
      <c r="Q206" s="168">
        <f>SUM(Q201:Q205)</f>
        <v>0</v>
      </c>
      <c r="R206" s="115">
        <f>SUM(R201:R205)</f>
        <v>1</v>
      </c>
      <c r="T206" s="168">
        <f>SUM(T201:T205)</f>
        <v>1</v>
      </c>
      <c r="U206" s="115">
        <f>SUM(U201:U205)</f>
        <v>0</v>
      </c>
      <c r="W206" s="168">
        <f>SUM(W201:W205)</f>
        <v>0</v>
      </c>
      <c r="X206" s="115">
        <f>SUM(X201:X205)</f>
        <v>0</v>
      </c>
      <c r="Z206" s="168">
        <f>SUM(Z201:Z205)</f>
        <v>0</v>
      </c>
      <c r="AA206" s="115">
        <f>SUM(AA201:AA205)</f>
        <v>0</v>
      </c>
      <c r="AC206" s="168">
        <f>SUM(AC201:AC205)</f>
        <v>0</v>
      </c>
      <c r="AD206" s="115">
        <f>SUM(AD201:AD205)</f>
        <v>0</v>
      </c>
      <c r="AF206" s="168">
        <f>SUM(AF201:AF205)</f>
        <v>0</v>
      </c>
      <c r="AW206" s="166"/>
    </row>
    <row r="207" spans="1:49" s="115" customFormat="1" ht="25.5" hidden="1" customHeight="1">
      <c r="A207" s="167" t="s">
        <v>207</v>
      </c>
      <c r="B207" s="115">
        <f>IF(B206&gt;D206,IF(C241=AL177,1,IF(C241=AL177-1,1,0)),0)</f>
        <v>1</v>
      </c>
      <c r="C207" s="115">
        <f>B207+D207</f>
        <v>1</v>
      </c>
      <c r="D207" s="168">
        <f>IF(D206&gt;B206,IF(C241=AL177,1,IF(C241=AL177-1,1,0)),0)</f>
        <v>0</v>
      </c>
      <c r="E207" s="115">
        <f>IF(E206&gt;G206,IF(F241=AL177,1,IF(F241=AL177-1,1,0)),0)</f>
        <v>1</v>
      </c>
      <c r="F207" s="115">
        <f>E207+G207</f>
        <v>1</v>
      </c>
      <c r="G207" s="168">
        <f>IF(G206&gt;E206,IF(F241=AL177,1,IF(F241=AL177-1,1,0)),0)</f>
        <v>0</v>
      </c>
      <c r="H207" s="115">
        <f>IF(H206&gt;J206,IF(I241=AL177,1,IF(I241=AL177-1,1,0)),0)</f>
        <v>0</v>
      </c>
      <c r="I207" s="115">
        <f>H207+J207</f>
        <v>1</v>
      </c>
      <c r="J207" s="168">
        <f>IF(J206&gt;H206,IF(I241=AL177,1,IF(I241=AL177-1,1,0)),0)</f>
        <v>1</v>
      </c>
      <c r="K207" s="168"/>
      <c r="L207" s="115">
        <f>IF(L206&gt;N206,IF(M241=AL177,1,IF(M241=AL177-1,1,0)),0)</f>
        <v>1</v>
      </c>
      <c r="M207" s="115">
        <f>L207+N207</f>
        <v>1</v>
      </c>
      <c r="N207" s="168">
        <f>IF(N206&gt;L206,IF(M241=AL177,1,IF(M241=AL177-1,1,0)),0)</f>
        <v>0</v>
      </c>
      <c r="O207" s="115">
        <f>IF(O206&gt;Q206,IF(P241=AL177,1,IF(P241=AL177-1,1,0)),0)</f>
        <v>1</v>
      </c>
      <c r="P207" s="115">
        <f>O207+Q207</f>
        <v>1</v>
      </c>
      <c r="Q207" s="168">
        <f>IF(Q206&gt;O206,IF(P241=AL177,1,IF(P241=AL177-1,1,0)),0)</f>
        <v>0</v>
      </c>
      <c r="R207" s="115">
        <f>IF(R206&gt;T206,IF(S241=AL177,1,IF(S241=AL177-1,1,0)),0)</f>
        <v>0</v>
      </c>
      <c r="S207" s="115">
        <f>R207+T207</f>
        <v>0</v>
      </c>
      <c r="T207" s="168">
        <f>IF(T206&gt;R206,IF(S241=AL177,1,IF(S241=AL177-1,1,0)),0)</f>
        <v>0</v>
      </c>
      <c r="U207" s="115">
        <f>IF(U206&gt;W206,IF(V241=AL177,1,IF(V241=AL177-1,1,0)),0)</f>
        <v>0</v>
      </c>
      <c r="V207" s="115">
        <f>U207+W207</f>
        <v>0</v>
      </c>
      <c r="W207" s="168">
        <f>IF(W206&gt;U206,IF(V241=AL177,1,IF(V241=AL177-1,1,0)),0)</f>
        <v>0</v>
      </c>
      <c r="X207" s="115">
        <f>IF(X206&gt;Z206,IF(Y241=AL177,1,IF(Y241=AL177-1,1,0)),0)</f>
        <v>0</v>
      </c>
      <c r="Y207" s="115">
        <f>X207+Z207</f>
        <v>0</v>
      </c>
      <c r="Z207" s="168">
        <f>IF(Z206&gt;X206,IF(Y241=AL177,1,IF(Y241=AL177-1,1,0)),0)</f>
        <v>0</v>
      </c>
      <c r="AA207" s="115">
        <f>IF(AA206&gt;AC206,IF(AB241=AL177,1,IF(AB241=AL177-1,1,0)),0)</f>
        <v>0</v>
      </c>
      <c r="AB207" s="115">
        <f>AA207+AC207</f>
        <v>0</v>
      </c>
      <c r="AC207" s="168">
        <f>IF(AC206&gt;AA206,IF(AB241=AL177,1,IF(AB241=AL177-1,1,0)),0)</f>
        <v>0</v>
      </c>
      <c r="AD207" s="115">
        <f>IF(AD206&gt;AF206,IF(AE241=AL177,1,IF(AE241=AL177-1,1,0)),0)</f>
        <v>0</v>
      </c>
      <c r="AE207" s="115">
        <f>AD207+AF207</f>
        <v>0</v>
      </c>
      <c r="AF207" s="168">
        <f>IF(AF206&gt;AD206,IF(AE241=AL177,1,IF(AE241=AL177-1,1,0)),0)</f>
        <v>0</v>
      </c>
      <c r="AW207" s="166"/>
    </row>
    <row r="208" spans="1:49" s="115" customFormat="1" ht="25.5" hidden="1" customHeight="1">
      <c r="A208" s="167"/>
      <c r="D208" s="168"/>
      <c r="G208" s="168"/>
      <c r="J208" s="168"/>
      <c r="K208" s="168"/>
      <c r="N208" s="168"/>
      <c r="Q208" s="168"/>
      <c r="T208" s="168"/>
      <c r="W208" s="168"/>
      <c r="Z208" s="168"/>
      <c r="AC208" s="168"/>
      <c r="AF208" s="168"/>
      <c r="AW208" s="166"/>
    </row>
    <row r="209" spans="1:49" s="115" customFormat="1" ht="12.75" hidden="1" customHeight="1">
      <c r="A209" s="115" t="s">
        <v>208</v>
      </c>
      <c r="B209" s="115">
        <f>IF(B201=1,B195,0)</f>
        <v>21</v>
      </c>
      <c r="D209" s="168">
        <f t="shared" ref="D209:E213" si="18">IF(D201=1,D195,0)</f>
        <v>0</v>
      </c>
      <c r="E209" s="115">
        <f t="shared" si="18"/>
        <v>21</v>
      </c>
      <c r="G209" s="168">
        <f t="shared" ref="G209:H213" si="19">IF(G201=1,G195,0)</f>
        <v>0</v>
      </c>
      <c r="H209" s="115">
        <f t="shared" si="19"/>
        <v>0</v>
      </c>
      <c r="J209" s="168">
        <f>IF(J201=1,J195,0)</f>
        <v>20</v>
      </c>
      <c r="K209" s="168"/>
      <c r="L209" s="115">
        <f>IF(L201=1,L195,0)</f>
        <v>23</v>
      </c>
      <c r="N209" s="168">
        <f t="shared" ref="N209:O213" si="20">IF(N201=1,N195,0)</f>
        <v>0</v>
      </c>
      <c r="O209" s="115">
        <f t="shared" si="20"/>
        <v>25</v>
      </c>
      <c r="Q209" s="168">
        <f t="shared" ref="Q209:R213" si="21">IF(Q201=1,Q195,0)</f>
        <v>0</v>
      </c>
      <c r="R209" s="115">
        <f t="shared" si="21"/>
        <v>21</v>
      </c>
      <c r="T209" s="168">
        <f t="shared" ref="T209:U213" si="22">IF(T201=1,T195,0)</f>
        <v>0</v>
      </c>
      <c r="U209" s="115">
        <f t="shared" si="22"/>
        <v>0</v>
      </c>
      <c r="W209" s="168">
        <f t="shared" ref="W209:X213" si="23">IF(W201=1,W195,0)</f>
        <v>0</v>
      </c>
      <c r="X209" s="115">
        <f t="shared" si="23"/>
        <v>0</v>
      </c>
      <c r="Z209" s="168">
        <f t="shared" ref="Z209:AA213" si="24">IF(Z201=1,Z195,0)</f>
        <v>0</v>
      </c>
      <c r="AA209" s="115">
        <f t="shared" si="24"/>
        <v>0</v>
      </c>
      <c r="AC209" s="168">
        <f t="shared" ref="AC209:AD213" si="25">IF(AC201=1,AC195,0)</f>
        <v>0</v>
      </c>
      <c r="AD209" s="115">
        <f t="shared" si="25"/>
        <v>0</v>
      </c>
      <c r="AF209" s="168">
        <f>IF(AF201=1,AF195,0)</f>
        <v>0</v>
      </c>
      <c r="AW209" s="166"/>
    </row>
    <row r="210" spans="1:49" s="115" customFormat="1" ht="12.75" hidden="1" customHeight="1">
      <c r="A210" s="115" t="s">
        <v>209</v>
      </c>
      <c r="B210" s="115">
        <f>IF(B202=1,B196,0)</f>
        <v>28</v>
      </c>
      <c r="D210" s="168">
        <f t="shared" si="18"/>
        <v>0</v>
      </c>
      <c r="E210" s="115">
        <f t="shared" si="18"/>
        <v>25</v>
      </c>
      <c r="G210" s="168">
        <f t="shared" si="19"/>
        <v>0</v>
      </c>
      <c r="H210" s="115">
        <f t="shared" si="19"/>
        <v>0</v>
      </c>
      <c r="J210" s="168">
        <f>IF(J202=1,J196,0)</f>
        <v>19</v>
      </c>
      <c r="K210" s="168"/>
      <c r="L210" s="115">
        <f>IF(L202=1,L196,0)</f>
        <v>24</v>
      </c>
      <c r="N210" s="168">
        <f t="shared" si="20"/>
        <v>0</v>
      </c>
      <c r="O210" s="115">
        <f t="shared" si="20"/>
        <v>22</v>
      </c>
      <c r="Q210" s="168">
        <f t="shared" si="21"/>
        <v>0</v>
      </c>
      <c r="R210" s="115">
        <f t="shared" si="21"/>
        <v>0</v>
      </c>
      <c r="T210" s="168">
        <f t="shared" si="22"/>
        <v>20</v>
      </c>
      <c r="U210" s="115">
        <f t="shared" si="22"/>
        <v>0</v>
      </c>
      <c r="W210" s="168">
        <f t="shared" si="23"/>
        <v>0</v>
      </c>
      <c r="X210" s="115">
        <f t="shared" si="23"/>
        <v>0</v>
      </c>
      <c r="Z210" s="168">
        <f t="shared" si="24"/>
        <v>0</v>
      </c>
      <c r="AA210" s="115">
        <f t="shared" si="24"/>
        <v>0</v>
      </c>
      <c r="AC210" s="168">
        <f t="shared" si="25"/>
        <v>0</v>
      </c>
      <c r="AD210" s="115">
        <f t="shared" si="25"/>
        <v>0</v>
      </c>
      <c r="AF210" s="168">
        <f>IF(AF202=1,AF196,0)</f>
        <v>0</v>
      </c>
      <c r="AW210" s="166"/>
    </row>
    <row r="211" spans="1:49" s="115" customFormat="1" ht="12.75" hidden="1" customHeight="1">
      <c r="A211" s="115" t="s">
        <v>210</v>
      </c>
      <c r="B211" s="115">
        <f>IF(B203=1,B197,0)</f>
        <v>0</v>
      </c>
      <c r="D211" s="168">
        <f t="shared" si="18"/>
        <v>0</v>
      </c>
      <c r="E211" s="115">
        <f t="shared" si="18"/>
        <v>0</v>
      </c>
      <c r="G211" s="168">
        <f t="shared" si="19"/>
        <v>0</v>
      </c>
      <c r="H211" s="115">
        <f t="shared" si="19"/>
        <v>0</v>
      </c>
      <c r="J211" s="168">
        <f>IF(J203=1,J197,0)</f>
        <v>0</v>
      </c>
      <c r="K211" s="168"/>
      <c r="L211" s="115">
        <f>IF(L203=1,L197,0)</f>
        <v>0</v>
      </c>
      <c r="N211" s="168">
        <f t="shared" si="20"/>
        <v>0</v>
      </c>
      <c r="O211" s="115">
        <f t="shared" si="20"/>
        <v>0</v>
      </c>
      <c r="Q211" s="168">
        <f t="shared" si="21"/>
        <v>0</v>
      </c>
      <c r="R211" s="115">
        <f t="shared" si="21"/>
        <v>0</v>
      </c>
      <c r="T211" s="168">
        <f t="shared" si="22"/>
        <v>0</v>
      </c>
      <c r="U211" s="115">
        <f t="shared" si="22"/>
        <v>0</v>
      </c>
      <c r="W211" s="168">
        <f t="shared" si="23"/>
        <v>0</v>
      </c>
      <c r="X211" s="115">
        <f t="shared" si="23"/>
        <v>0</v>
      </c>
      <c r="Z211" s="168">
        <f t="shared" si="24"/>
        <v>0</v>
      </c>
      <c r="AA211" s="115">
        <f t="shared" si="24"/>
        <v>0</v>
      </c>
      <c r="AC211" s="168">
        <f t="shared" si="25"/>
        <v>0</v>
      </c>
      <c r="AD211" s="115">
        <f t="shared" si="25"/>
        <v>0</v>
      </c>
      <c r="AF211" s="168">
        <f>IF(AF203=1,AF197,0)</f>
        <v>0</v>
      </c>
      <c r="AW211" s="166"/>
    </row>
    <row r="212" spans="1:49" s="115" customFormat="1" ht="12.75" hidden="1" customHeight="1">
      <c r="A212" s="115" t="s">
        <v>211</v>
      </c>
      <c r="B212" s="115">
        <f>IF(B204=1,B198,0)</f>
        <v>0</v>
      </c>
      <c r="D212" s="168">
        <f t="shared" si="18"/>
        <v>0</v>
      </c>
      <c r="E212" s="115">
        <f t="shared" si="18"/>
        <v>0</v>
      </c>
      <c r="G212" s="168">
        <f t="shared" si="19"/>
        <v>0</v>
      </c>
      <c r="H212" s="115">
        <f t="shared" si="19"/>
        <v>0</v>
      </c>
      <c r="J212" s="168">
        <f>IF(J204=1,J198,0)</f>
        <v>0</v>
      </c>
      <c r="K212" s="168"/>
      <c r="L212" s="115">
        <f>IF(L204=1,L198,0)</f>
        <v>0</v>
      </c>
      <c r="N212" s="168">
        <f t="shared" si="20"/>
        <v>0</v>
      </c>
      <c r="O212" s="115">
        <f t="shared" si="20"/>
        <v>0</v>
      </c>
      <c r="Q212" s="168">
        <f t="shared" si="21"/>
        <v>0</v>
      </c>
      <c r="R212" s="115">
        <f t="shared" si="21"/>
        <v>0</v>
      </c>
      <c r="T212" s="168">
        <f t="shared" si="22"/>
        <v>0</v>
      </c>
      <c r="U212" s="115">
        <f t="shared" si="22"/>
        <v>0</v>
      </c>
      <c r="W212" s="168">
        <f t="shared" si="23"/>
        <v>0</v>
      </c>
      <c r="X212" s="115">
        <f t="shared" si="23"/>
        <v>0</v>
      </c>
      <c r="Z212" s="168">
        <f t="shared" si="24"/>
        <v>0</v>
      </c>
      <c r="AA212" s="115">
        <f t="shared" si="24"/>
        <v>0</v>
      </c>
      <c r="AC212" s="168">
        <f t="shared" si="25"/>
        <v>0</v>
      </c>
      <c r="AD212" s="115">
        <f t="shared" si="25"/>
        <v>0</v>
      </c>
      <c r="AF212" s="168">
        <f>IF(AF204=1,AF198,0)</f>
        <v>0</v>
      </c>
      <c r="AW212" s="166"/>
    </row>
    <row r="213" spans="1:49" s="115" customFormat="1" ht="12.75" hidden="1" customHeight="1">
      <c r="A213" s="115" t="s">
        <v>212</v>
      </c>
      <c r="B213" s="115">
        <f>IF(B205=1,B199,0)</f>
        <v>0</v>
      </c>
      <c r="D213" s="168">
        <f t="shared" si="18"/>
        <v>0</v>
      </c>
      <c r="E213" s="115">
        <f t="shared" si="18"/>
        <v>0</v>
      </c>
      <c r="G213" s="168">
        <f t="shared" si="19"/>
        <v>0</v>
      </c>
      <c r="H213" s="115">
        <f t="shared" si="19"/>
        <v>0</v>
      </c>
      <c r="J213" s="168">
        <f>IF(J205=1,J199,0)</f>
        <v>0</v>
      </c>
      <c r="K213" s="168"/>
      <c r="L213" s="115">
        <f>IF(L205=1,L199,0)</f>
        <v>0</v>
      </c>
      <c r="N213" s="168">
        <f t="shared" si="20"/>
        <v>0</v>
      </c>
      <c r="O213" s="115">
        <f t="shared" si="20"/>
        <v>0</v>
      </c>
      <c r="Q213" s="168">
        <f t="shared" si="21"/>
        <v>0</v>
      </c>
      <c r="R213" s="115">
        <f t="shared" si="21"/>
        <v>0</v>
      </c>
      <c r="T213" s="168">
        <f t="shared" si="22"/>
        <v>0</v>
      </c>
      <c r="U213" s="115">
        <f t="shared" si="22"/>
        <v>0</v>
      </c>
      <c r="W213" s="168">
        <f t="shared" si="23"/>
        <v>0</v>
      </c>
      <c r="X213" s="115">
        <f t="shared" si="23"/>
        <v>0</v>
      </c>
      <c r="Z213" s="168">
        <f t="shared" si="24"/>
        <v>0</v>
      </c>
      <c r="AA213" s="115">
        <f t="shared" si="24"/>
        <v>0</v>
      </c>
      <c r="AC213" s="168">
        <f t="shared" si="25"/>
        <v>0</v>
      </c>
      <c r="AD213" s="115">
        <f t="shared" si="25"/>
        <v>0</v>
      </c>
      <c r="AF213" s="168">
        <f>IF(AF205=1,AF199,0)</f>
        <v>0</v>
      </c>
      <c r="AW213" s="166"/>
    </row>
    <row r="214" spans="1:49" s="115" customFormat="1" ht="38.25" hidden="1" customHeight="1">
      <c r="A214" s="167" t="s">
        <v>213</v>
      </c>
      <c r="B214" s="115">
        <f>SUM(B209:D213)</f>
        <v>49</v>
      </c>
      <c r="D214" s="168"/>
      <c r="E214" s="115">
        <f>SUM(E209:G213)</f>
        <v>46</v>
      </c>
      <c r="G214" s="168"/>
      <c r="H214" s="115">
        <f>SUM(H209:J213)</f>
        <v>39</v>
      </c>
      <c r="J214" s="168"/>
      <c r="K214" s="168"/>
      <c r="L214" s="115">
        <f>SUM(L209:N213)</f>
        <v>47</v>
      </c>
      <c r="N214" s="168"/>
      <c r="O214" s="115">
        <f>SUM(O209:Q213)</f>
        <v>47</v>
      </c>
      <c r="Q214" s="168"/>
      <c r="R214" s="115">
        <f>SUM(R209:T213)</f>
        <v>41</v>
      </c>
      <c r="T214" s="168"/>
      <c r="U214" s="115">
        <f>SUM(U209:W213)</f>
        <v>0</v>
      </c>
      <c r="W214" s="168"/>
      <c r="X214" s="115">
        <f>SUM(X209:Z213)</f>
        <v>0</v>
      </c>
      <c r="Z214" s="168"/>
      <c r="AA214" s="115">
        <f>SUM(AA209:AC213)</f>
        <v>0</v>
      </c>
      <c r="AC214" s="168"/>
      <c r="AD214" s="115">
        <f>SUM(AD209:AF213)</f>
        <v>0</v>
      </c>
      <c r="AF214" s="168"/>
      <c r="AW214" s="166"/>
    </row>
    <row r="215" spans="1:49" s="115" customFormat="1" ht="38.25" hidden="1" customHeight="1">
      <c r="A215" s="115" t="s">
        <v>214</v>
      </c>
      <c r="D215" s="168"/>
      <c r="G215" s="168"/>
      <c r="J215" s="168"/>
      <c r="K215" s="168"/>
      <c r="N215" s="168"/>
      <c r="Q215" s="168"/>
      <c r="T215" s="168"/>
      <c r="W215" s="168"/>
      <c r="Z215" s="168"/>
      <c r="AC215" s="168"/>
      <c r="AF215" s="168"/>
      <c r="AG215" s="167" t="s">
        <v>215</v>
      </c>
      <c r="AH215" s="115" t="s">
        <v>216</v>
      </c>
      <c r="AW215" s="166"/>
    </row>
    <row r="216" spans="1:49" s="115" customFormat="1" ht="12.75" hidden="1" customHeight="1">
      <c r="A216" s="115" t="s">
        <v>38</v>
      </c>
      <c r="B216" s="115">
        <f>IF(B194=1,IF(B207=1,1,0),0)</f>
        <v>1</v>
      </c>
      <c r="D216" s="168">
        <f>IF(D194=1,IF(D207=1,1,0),0)</f>
        <v>0</v>
      </c>
      <c r="E216" s="115">
        <f>IF(E194=1,IF(E207=1,1,0),0)</f>
        <v>0</v>
      </c>
      <c r="G216" s="168">
        <f>IF(G194=1,IF(G207=1,1,0),0)</f>
        <v>0</v>
      </c>
      <c r="H216" s="115">
        <f>IF(H194=1,IF(H207=1,1,0),0)</f>
        <v>0</v>
      </c>
      <c r="J216" s="168">
        <f>IF(J194=1,IF(J207=1,1,0),0)</f>
        <v>0</v>
      </c>
      <c r="K216" s="168"/>
      <c r="L216" s="115">
        <f>IF(L194=1,IF(L207=1,1,0),0)</f>
        <v>1</v>
      </c>
      <c r="N216" s="168">
        <f>IF(N194=1,IF(N207=1,1,0),0)</f>
        <v>0</v>
      </c>
      <c r="O216" s="115">
        <f>IF(O194=1,IF(O207=1,1,0),0)</f>
        <v>0</v>
      </c>
      <c r="Q216" s="168">
        <f>IF(Q194=1,IF(Q207=1,1,0),0)</f>
        <v>0</v>
      </c>
      <c r="R216" s="115">
        <f>IF(R194=1,IF(R207=1,1,0),0)</f>
        <v>0</v>
      </c>
      <c r="T216" s="168">
        <f>IF(T194=1,IF(T207=1,1,0),0)</f>
        <v>0</v>
      </c>
      <c r="U216" s="115">
        <f>IF(U194=1,IF(U207=1,1,0),0)</f>
        <v>0</v>
      </c>
      <c r="W216" s="168">
        <f>IF(W194=1,IF(W207=1,1,0),0)</f>
        <v>0</v>
      </c>
      <c r="X216" s="115">
        <f>IF(X194=1,IF(X207=1,1,0),0)</f>
        <v>0</v>
      </c>
      <c r="Z216" s="168">
        <f>IF(Z194=1,IF(Z207=1,1,0),0)</f>
        <v>0</v>
      </c>
      <c r="AA216" s="115">
        <f>IF(AA194=1,IF(AA207=1,1,0),0)</f>
        <v>0</v>
      </c>
      <c r="AC216" s="168">
        <f>IF(AC194=1,IF(AC207=1,1,0),0)</f>
        <v>0</v>
      </c>
      <c r="AD216" s="115">
        <f>IF(AD194=1,IF(AD207=1,1,0),0)</f>
        <v>0</v>
      </c>
      <c r="AF216" s="168">
        <f>IF(AF194=1,IF(AF207=1,1,0),0)</f>
        <v>0</v>
      </c>
      <c r="AG216" s="115">
        <f>SUM(B216:AF216)</f>
        <v>2</v>
      </c>
      <c r="AH216" s="115">
        <f>AG222-AG216</f>
        <v>1</v>
      </c>
      <c r="AW216" s="166"/>
    </row>
    <row r="217" spans="1:49" s="115" customFormat="1" ht="12.75" hidden="1" customHeight="1">
      <c r="A217" s="115" t="s">
        <v>39</v>
      </c>
      <c r="B217" s="115">
        <f>IF(B194=2,IF(B207=1,1,0),0)</f>
        <v>0</v>
      </c>
      <c r="D217" s="168">
        <f>IF(D194=2,IF(D207=1,1,0),0)</f>
        <v>0</v>
      </c>
      <c r="E217" s="115">
        <f>IF(E194=2,IF(E207=1,1,0),0)</f>
        <v>1</v>
      </c>
      <c r="G217" s="168">
        <f>IF(G194=2,IF(G207=1,1,0),0)</f>
        <v>0</v>
      </c>
      <c r="H217" s="115">
        <f>IF(H194=2,IF(H207=1,1,0),0)</f>
        <v>0</v>
      </c>
      <c r="J217" s="168">
        <f>IF(J194=2,IF(J207=1,1,0),0)</f>
        <v>1</v>
      </c>
      <c r="K217" s="168"/>
      <c r="L217" s="115">
        <f>IF(L194=2,IF(L207=1,1,0),0)</f>
        <v>0</v>
      </c>
      <c r="N217" s="168">
        <f>IF(N194=2,IF(N207=1,1,0),0)</f>
        <v>0</v>
      </c>
      <c r="O217" s="115">
        <f>IF(O194=2,IF(O207=1,1,0),0)</f>
        <v>1</v>
      </c>
      <c r="Q217" s="168">
        <f>IF(Q194=2,IF(Q207=1,1,0),0)</f>
        <v>0</v>
      </c>
      <c r="R217" s="115">
        <f>IF(R194=2,IF(R207=1,1,0),0)</f>
        <v>0</v>
      </c>
      <c r="T217" s="168">
        <f>IF(T194=2,IF(T207=1,1,0),0)</f>
        <v>0</v>
      </c>
      <c r="U217" s="115">
        <f>IF(U194=2,IF(U207=1,1,0),0)</f>
        <v>0</v>
      </c>
      <c r="W217" s="168">
        <f>IF(W194=2,IF(W207=1,1,0),0)</f>
        <v>0</v>
      </c>
      <c r="X217" s="115">
        <f>IF(X194=2,IF(X207=1,1,0),0)</f>
        <v>0</v>
      </c>
      <c r="Z217" s="168">
        <f>IF(Z194=2,IF(Z207=1,1,0),0)</f>
        <v>0</v>
      </c>
      <c r="AA217" s="115">
        <f>IF(AA194=2,IF(AA207=1,1,0),0)</f>
        <v>0</v>
      </c>
      <c r="AC217" s="168">
        <f>IF(AC194=2,IF(AC207=1,1,0),0)</f>
        <v>0</v>
      </c>
      <c r="AD217" s="115">
        <f>IF(AD194=2,IF(AD207=1,1,0),0)</f>
        <v>0</v>
      </c>
      <c r="AF217" s="168">
        <f>IF(AF194=2,IF(AF207=1,1,0),0)</f>
        <v>0</v>
      </c>
      <c r="AG217" s="115">
        <f>SUM(B217:AF217)</f>
        <v>3</v>
      </c>
      <c r="AH217" s="115">
        <f>AG223-AG217</f>
        <v>0</v>
      </c>
      <c r="AW217" s="166"/>
    </row>
    <row r="218" spans="1:49" s="115" customFormat="1" ht="12.75" hidden="1" customHeight="1">
      <c r="A218" s="115" t="s">
        <v>40</v>
      </c>
      <c r="B218" s="115">
        <f>IF(B194=3,IF(B207=1,1,0),0)</f>
        <v>0</v>
      </c>
      <c r="D218" s="168">
        <f>IF(D194=3,IF(D207=1,1,0),0)</f>
        <v>0</v>
      </c>
      <c r="E218" s="115">
        <f>IF(E194=3,IF(E207=1,1,0),0)</f>
        <v>0</v>
      </c>
      <c r="G218" s="168">
        <f>IF(G194=3,IF(G207=1,1,0),0)</f>
        <v>0</v>
      </c>
      <c r="H218" s="115">
        <f>IF(H194=3,IF(H207=1,1,0),0)</f>
        <v>0</v>
      </c>
      <c r="J218" s="168">
        <f>IF(J194=3,IF(J207=1,1,0),0)</f>
        <v>0</v>
      </c>
      <c r="K218" s="168"/>
      <c r="L218" s="115">
        <f>IF(L194=3,IF(L207=1,1,0),0)</f>
        <v>0</v>
      </c>
      <c r="N218" s="168">
        <f>IF(N194=3,IF(N207=1,1,0),0)</f>
        <v>0</v>
      </c>
      <c r="O218" s="115">
        <f>IF(O194=3,IF(O207=1,1,0),0)</f>
        <v>0</v>
      </c>
      <c r="Q218" s="168">
        <f>IF(Q194=3,IF(Q207=1,1,0),0)</f>
        <v>0</v>
      </c>
      <c r="R218" s="115">
        <f>IF(R194=3,IF(R207=1,1,0),0)</f>
        <v>0</v>
      </c>
      <c r="T218" s="168">
        <f>IF(T194=3,IF(T207=1,1,0),0)</f>
        <v>0</v>
      </c>
      <c r="U218" s="115">
        <f>IF(U194=3,IF(U207=1,1,0),0)</f>
        <v>0</v>
      </c>
      <c r="W218" s="168">
        <f>IF(W194=3,IF(W207=1,1,0),0)</f>
        <v>0</v>
      </c>
      <c r="X218" s="115">
        <f>IF(X194=3,IF(X207=1,1,0),0)</f>
        <v>0</v>
      </c>
      <c r="Z218" s="168">
        <f>IF(Z194=3,IF(Z207=1,1,0),0)</f>
        <v>0</v>
      </c>
      <c r="AA218" s="115">
        <f>IF(AA194=3,IF(AA207=1,1,0),0)</f>
        <v>0</v>
      </c>
      <c r="AC218" s="168">
        <f>IF(AC194=3,IF(AC207=1,1,0),0)</f>
        <v>0</v>
      </c>
      <c r="AD218" s="115">
        <f>IF(AD194=3,IF(AD207=1,1,0),0)</f>
        <v>0</v>
      </c>
      <c r="AF218" s="168">
        <f>IF(AF194=3,IF(AF207=1,1,0),0)</f>
        <v>0</v>
      </c>
      <c r="AG218" s="115">
        <f>SUM(B218:AF218)</f>
        <v>0</v>
      </c>
      <c r="AH218" s="115">
        <f>AG224-AG218</f>
        <v>4</v>
      </c>
      <c r="AW218" s="166"/>
    </row>
    <row r="219" spans="1:49" s="115" customFormat="1" ht="12.75" hidden="1" customHeight="1">
      <c r="A219" s="115" t="s">
        <v>41</v>
      </c>
      <c r="B219" s="115">
        <f>IF(B194=4,IF(B207=1,1,0),0)</f>
        <v>0</v>
      </c>
      <c r="D219" s="168">
        <f>IF(D194=4,IF(D207=1,1,0),0)</f>
        <v>0</v>
      </c>
      <c r="E219" s="115">
        <f>IF(E194=4,IF(E207=1,1,0),0)</f>
        <v>0</v>
      </c>
      <c r="G219" s="168">
        <f>IF(G194=4,IF(G207=1,1,0),0)</f>
        <v>0</v>
      </c>
      <c r="H219" s="115">
        <f>IF(H194=4,IF(H207=1,1,0),0)</f>
        <v>0</v>
      </c>
      <c r="J219" s="168">
        <f>IF(J194=4,IF(J207=1,1,0),0)</f>
        <v>0</v>
      </c>
      <c r="K219" s="168"/>
      <c r="L219" s="115">
        <f>IF(L194=4,IF(L207=1,1,0),0)</f>
        <v>0</v>
      </c>
      <c r="N219" s="168">
        <f>IF(N194=4,IF(N207=1,1,0),0)</f>
        <v>0</v>
      </c>
      <c r="O219" s="115">
        <f>IF(O194=4,IF(O207=1,1,0),0)</f>
        <v>0</v>
      </c>
      <c r="Q219" s="168">
        <f>IF(Q194=4,IF(Q207=1,1,0),0)</f>
        <v>0</v>
      </c>
      <c r="R219" s="115">
        <f>IF(R194=4,IF(R207=1,1,0),0)</f>
        <v>0</v>
      </c>
      <c r="T219" s="168">
        <f>IF(T194=4,IF(T207=1,1,0),0)</f>
        <v>0</v>
      </c>
      <c r="U219" s="115">
        <f>IF(U194=4,IF(U207=1,1,0),0)</f>
        <v>0</v>
      </c>
      <c r="W219" s="168">
        <f>IF(W194=4,IF(W207=1,1,0),0)</f>
        <v>0</v>
      </c>
      <c r="X219" s="115">
        <f>IF(X194=4,IF(X207=1,1,0),0)</f>
        <v>0</v>
      </c>
      <c r="Z219" s="168">
        <f>IF(Z194=4,IF(Z207=1,1,0),0)</f>
        <v>0</v>
      </c>
      <c r="AA219" s="115">
        <f>IF(AA194=4,IF(AA207=1,1,0),0)</f>
        <v>0</v>
      </c>
      <c r="AC219" s="168">
        <f>IF(AC194=4,IF(AC207=1,1,0),0)</f>
        <v>0</v>
      </c>
      <c r="AD219" s="115">
        <f>IF(AD194=4,IF(AD207=1,1,0),0)</f>
        <v>0</v>
      </c>
      <c r="AF219" s="168">
        <f>IF(AF194=4,IF(AF207=1,1,0),0)</f>
        <v>0</v>
      </c>
      <c r="AG219" s="115">
        <f>SUM(B219:AF219)</f>
        <v>0</v>
      </c>
      <c r="AH219" s="115">
        <f>AG225-AG219</f>
        <v>0</v>
      </c>
      <c r="AW219" s="166"/>
    </row>
    <row r="220" spans="1:49" s="115" customFormat="1" ht="12.75" hidden="1" customHeight="1">
      <c r="A220" s="115" t="s">
        <v>42</v>
      </c>
      <c r="B220" s="115">
        <f>IF(B194=5,IF(B207=1,1,0),0)</f>
        <v>0</v>
      </c>
      <c r="D220" s="168">
        <f>IF(D194=5,IF(D207=1,1,0),0)</f>
        <v>0</v>
      </c>
      <c r="E220" s="115">
        <f>IF(E194=5,IF(E207=1,1,0),0)</f>
        <v>0</v>
      </c>
      <c r="G220" s="168">
        <f>IF(G194=5,IF(G207=1,1,0),0)</f>
        <v>0</v>
      </c>
      <c r="H220" s="115">
        <f>IF(H194=5,IF(H207=1,1,0),0)</f>
        <v>0</v>
      </c>
      <c r="J220" s="168">
        <f>IF(J194=5,IF(J207=1,1,0),0)</f>
        <v>0</v>
      </c>
      <c r="K220" s="168"/>
      <c r="L220" s="115">
        <f>IF(L194=5,IF(L207=1,1,0),0)</f>
        <v>0</v>
      </c>
      <c r="N220" s="168">
        <f>IF(N194=5,IF(N207=1,1,0),0)</f>
        <v>0</v>
      </c>
      <c r="O220" s="115">
        <f>IF(O194=5,IF(O207=1,1,0),0)</f>
        <v>0</v>
      </c>
      <c r="Q220" s="168">
        <f>IF(Q194=5,IF(Q207=1,1,0),0)</f>
        <v>0</v>
      </c>
      <c r="R220" s="115">
        <f>IF(R194=5,IF(R207=1,1,0),0)</f>
        <v>0</v>
      </c>
      <c r="T220" s="168">
        <f>IF(T194=5,IF(T207=1,1,0),0)</f>
        <v>0</v>
      </c>
      <c r="U220" s="115">
        <f>IF(U194=5,IF(U207=1,1,0),0)</f>
        <v>0</v>
      </c>
      <c r="W220" s="168">
        <f>IF(W194=5,IF(W207=1,1,0),0)</f>
        <v>0</v>
      </c>
      <c r="X220" s="115">
        <f>IF(X194=5,IF(X207=1,1,0),0)</f>
        <v>0</v>
      </c>
      <c r="Z220" s="168">
        <f>IF(Z194=5,IF(Z207=1,1,0),0)</f>
        <v>0</v>
      </c>
      <c r="AA220" s="115">
        <f>IF(AA194=5,IF(AA207=1,1,0),0)</f>
        <v>0</v>
      </c>
      <c r="AC220" s="168">
        <f>IF(AC194=5,IF(AC207=1,1,0),0)</f>
        <v>0</v>
      </c>
      <c r="AD220" s="115">
        <f>IF(AD194=5,IF(AD207=1,1,0),0)</f>
        <v>0</v>
      </c>
      <c r="AF220" s="168">
        <f>IF(AF194=5,IF(AF207=1,1,0),0)</f>
        <v>0</v>
      </c>
      <c r="AG220" s="115">
        <f>SUM(B220:AF220)</f>
        <v>0</v>
      </c>
      <c r="AH220" s="115">
        <f>AG226-AG220</f>
        <v>0</v>
      </c>
      <c r="AW220" s="166"/>
    </row>
    <row r="221" spans="1:49" s="115" customFormat="1" ht="38.25" hidden="1" customHeight="1">
      <c r="A221" s="167"/>
      <c r="D221" s="168"/>
      <c r="G221" s="168"/>
      <c r="J221" s="168"/>
      <c r="K221" s="168"/>
      <c r="N221" s="168"/>
      <c r="Q221" s="168"/>
      <c r="T221" s="168"/>
      <c r="W221" s="168"/>
      <c r="Z221" s="168"/>
      <c r="AC221" s="168"/>
      <c r="AF221" s="168"/>
      <c r="AG221" s="167" t="s">
        <v>217</v>
      </c>
      <c r="AW221" s="166"/>
    </row>
    <row r="222" spans="1:49" s="115" customFormat="1" ht="12.75" hidden="1" customHeight="1">
      <c r="A222" s="115" t="s">
        <v>43</v>
      </c>
      <c r="B222" s="115">
        <f>IF(B194=1,IF(C207=1,1,0),0)</f>
        <v>1</v>
      </c>
      <c r="D222" s="168">
        <f>IF(D194=1,IF(C207=1,1,0),0)</f>
        <v>0</v>
      </c>
      <c r="E222" s="115">
        <f>IF(E194=1,IF(F207=1,1,0),0)</f>
        <v>0</v>
      </c>
      <c r="G222" s="168">
        <f>IF(G194=1,IF(F207=1,1,0),0)</f>
        <v>0</v>
      </c>
      <c r="H222" s="115">
        <f>IF(H194=1,IF(I207=1,1,0),0)</f>
        <v>1</v>
      </c>
      <c r="J222" s="168">
        <f>IF(J194=1,IF(I207=1,1,0),0)</f>
        <v>0</v>
      </c>
      <c r="K222" s="168"/>
      <c r="L222" s="115">
        <f>IF(L194=1,IF(M207=1,1,0),0)</f>
        <v>1</v>
      </c>
      <c r="N222" s="168">
        <f>IF(N194=1,IF(M207=1,1,0),0)</f>
        <v>0</v>
      </c>
      <c r="O222" s="115">
        <f>IF(O194=1,IF(P207=1,1,0),0)</f>
        <v>0</v>
      </c>
      <c r="Q222" s="168">
        <f>IF(Q194=1,IF(P207=1,1,0),0)</f>
        <v>0</v>
      </c>
      <c r="R222" s="115">
        <f>IF(R194=1,IF(S207=1,1,0),0)</f>
        <v>0</v>
      </c>
      <c r="T222" s="168">
        <f>IF(T194=1,IF(S207=1,1,0),0)</f>
        <v>0</v>
      </c>
      <c r="U222" s="115">
        <f>IF(U194=1,IF(V207=1,1,0),0)</f>
        <v>0</v>
      </c>
      <c r="W222" s="168">
        <f>IF(W194=1,IF(V207=1,1,0),0)</f>
        <v>0</v>
      </c>
      <c r="X222" s="115">
        <f>IF(X194=1,IF(Y207=1,1,0),0)</f>
        <v>0</v>
      </c>
      <c r="Z222" s="168">
        <f>IF(Z194=1,IF(Y207=1,1,0),0)</f>
        <v>0</v>
      </c>
      <c r="AA222" s="115">
        <f>IF(AA194=1,IF(AB207=1,1,0),0)</f>
        <v>0</v>
      </c>
      <c r="AC222" s="168">
        <f>IF(AC194=1,IF(AB207=1,1,0),0)</f>
        <v>0</v>
      </c>
      <c r="AD222" s="115">
        <f>IF(AD194=1,IF(AE207=1,1,0),0)</f>
        <v>0</v>
      </c>
      <c r="AF222" s="168">
        <f>IF(AF194=1,IF(AE207=1,1,0),0)</f>
        <v>0</v>
      </c>
      <c r="AG222" s="115">
        <f>SUM(B222:AF222)</f>
        <v>3</v>
      </c>
      <c r="AW222" s="166"/>
    </row>
    <row r="223" spans="1:49" s="115" customFormat="1" ht="12.75" hidden="1" customHeight="1">
      <c r="A223" s="115" t="s">
        <v>44</v>
      </c>
      <c r="B223" s="115">
        <f>IF(B194=2,IF(C207=1,1,0),0)</f>
        <v>0</v>
      </c>
      <c r="D223" s="168">
        <f>IF(D194=2,IF(C207=1,1,0),0)</f>
        <v>0</v>
      </c>
      <c r="E223" s="115">
        <f>IF(E194=2,IF(F207=1,1,0),0)</f>
        <v>1</v>
      </c>
      <c r="G223" s="168">
        <f>IF(G194=2,IF(F207=1,1,0),0)</f>
        <v>0</v>
      </c>
      <c r="H223" s="115">
        <f>IF(H194=2,IF(I207=1,1,0),0)</f>
        <v>0</v>
      </c>
      <c r="J223" s="168">
        <f>IF(J194=2,IF(I207=1,1,0),0)</f>
        <v>1</v>
      </c>
      <c r="K223" s="168"/>
      <c r="L223" s="115">
        <f>IF(L194=2,IF(M207=1,1,0),0)</f>
        <v>0</v>
      </c>
      <c r="N223" s="168">
        <f>IF(N194=2,IF(M207=1,1,0),0)</f>
        <v>0</v>
      </c>
      <c r="O223" s="115">
        <f>IF(O194=2,IF(P207=1,1,0),0)</f>
        <v>1</v>
      </c>
      <c r="Q223" s="168">
        <f>IF(Q194=2,IF(P207=1,1,0),0)</f>
        <v>0</v>
      </c>
      <c r="R223" s="115">
        <f>IF(R194=2,IF(S207=1,1,0),0)</f>
        <v>0</v>
      </c>
      <c r="T223" s="168">
        <f>IF(T194=2,IF(S207=1,1,0),0)</f>
        <v>0</v>
      </c>
      <c r="U223" s="115">
        <f>IF(U194=2,IF(V207=1,1,0),0)</f>
        <v>0</v>
      </c>
      <c r="W223" s="168">
        <f>IF(W194=2,IF(V207=1,1,0),0)</f>
        <v>0</v>
      </c>
      <c r="X223" s="115">
        <f>IF(X194=2,IF(Y207=1,1,0),0)</f>
        <v>0</v>
      </c>
      <c r="Z223" s="168">
        <f>IF(Z194=2,IF(Y207=1,1,0),0)</f>
        <v>0</v>
      </c>
      <c r="AA223" s="115">
        <f>IF(AA194=2,IF(AB207=1,1,0),0)</f>
        <v>0</v>
      </c>
      <c r="AC223" s="168">
        <f>IF(AC194=2,IF(AB207=1,1,0),0)</f>
        <v>0</v>
      </c>
      <c r="AD223" s="115">
        <f>IF(AD194=2,IF(AE207=1,1,0),0)</f>
        <v>0</v>
      </c>
      <c r="AF223" s="168">
        <f>IF(AF194=2,IF(AE207=1,1,0),0)</f>
        <v>0</v>
      </c>
      <c r="AG223" s="115">
        <f>SUM(B223:AF223)</f>
        <v>3</v>
      </c>
      <c r="AW223" s="166"/>
    </row>
    <row r="224" spans="1:49" s="115" customFormat="1" ht="12.75" hidden="1" customHeight="1">
      <c r="A224" s="115" t="s">
        <v>45</v>
      </c>
      <c r="B224" s="115">
        <f>IF(B194=3,IF(C207=1,1,0),0)</f>
        <v>0</v>
      </c>
      <c r="D224" s="168">
        <f>IF(D194=3,IF(C207=1,1,0),0)</f>
        <v>1</v>
      </c>
      <c r="E224" s="115">
        <f>IF(E194=3,IF(F207=1,1,0),0)</f>
        <v>0</v>
      </c>
      <c r="G224" s="168">
        <f>IF(G194=3,IF(F207=1,1,0),0)</f>
        <v>1</v>
      </c>
      <c r="H224" s="115">
        <f>IF(H194=3,IF(I207=1,1,0),0)</f>
        <v>0</v>
      </c>
      <c r="J224" s="168">
        <f>IF(J194=3,IF(I207=1,1,0),0)</f>
        <v>0</v>
      </c>
      <c r="K224" s="168"/>
      <c r="L224" s="115">
        <f>IF(L194=3,IF(M207=1,1,0),0)</f>
        <v>0</v>
      </c>
      <c r="N224" s="168">
        <f>IF(N194=3,IF(M207=1,1,0),0)</f>
        <v>1</v>
      </c>
      <c r="O224" s="115">
        <f>IF(O194=3,IF(P207=1,1,0),0)</f>
        <v>0</v>
      </c>
      <c r="Q224" s="168">
        <f>IF(Q194=3,IF(P207=1,1,0),0)</f>
        <v>1</v>
      </c>
      <c r="R224" s="115">
        <f>IF(R194=3,IF(S207=1,1,0),0)</f>
        <v>0</v>
      </c>
      <c r="T224" s="168">
        <f>IF(T194=3,IF(S207=1,1,0),0)</f>
        <v>0</v>
      </c>
      <c r="U224" s="115">
        <f>IF(U194=3,IF(V207=1,1,0),0)</f>
        <v>0</v>
      </c>
      <c r="W224" s="168">
        <f>IF(W194=3,IF(V207=1,1,0),0)</f>
        <v>0</v>
      </c>
      <c r="X224" s="115">
        <f>IF(X194=3,IF(Y207=1,1,0),0)</f>
        <v>0</v>
      </c>
      <c r="Z224" s="168">
        <f>IF(Z194=3,IF(Y207=1,1,0),0)</f>
        <v>0</v>
      </c>
      <c r="AA224" s="115">
        <f>IF(AA194=3,IF(AB207=1,1,0),0)</f>
        <v>0</v>
      </c>
      <c r="AC224" s="168">
        <f>IF(AC194=3,IF(AB207=1,1,0),0)</f>
        <v>0</v>
      </c>
      <c r="AD224" s="115">
        <f>IF(AD194=3,IF(AE207=1,1,0),0)</f>
        <v>0</v>
      </c>
      <c r="AF224" s="168">
        <f>IF(AF194=3,IF(AE207=1,1,0),0)</f>
        <v>0</v>
      </c>
      <c r="AG224" s="115">
        <f>SUM(B224:AF224)</f>
        <v>4</v>
      </c>
      <c r="AW224" s="166"/>
    </row>
    <row r="225" spans="1:49" s="115" customFormat="1" ht="12.75" hidden="1" customHeight="1">
      <c r="A225" s="115" t="s">
        <v>46</v>
      </c>
      <c r="B225" s="115">
        <f>IF(B194=4,IF(C207=1,1,0),0)</f>
        <v>0</v>
      </c>
      <c r="D225" s="168">
        <f>IF(D194=4,IF(C207=1,1,0),0)</f>
        <v>0</v>
      </c>
      <c r="E225" s="115">
        <f>IF(E194=4,IF(F207=1,1,0),0)</f>
        <v>0</v>
      </c>
      <c r="G225" s="168">
        <f>IF(G194=4,IF(F207=1,1,0),0)</f>
        <v>0</v>
      </c>
      <c r="H225" s="115">
        <f>IF(H194=4,IF(I207=1,1,0),0)</f>
        <v>0</v>
      </c>
      <c r="J225" s="168">
        <f>IF(J194=4,IF(I207=1,1,0),0)</f>
        <v>0</v>
      </c>
      <c r="K225" s="168"/>
      <c r="L225" s="115">
        <f>IF(L194=4,IF(M207=1,1,0),0)</f>
        <v>0</v>
      </c>
      <c r="N225" s="168">
        <f>IF(N194=4,IF(M207=1,1,0),0)</f>
        <v>0</v>
      </c>
      <c r="O225" s="115">
        <f>IF(O194=4,IF(P207=1,1,0),0)</f>
        <v>0</v>
      </c>
      <c r="Q225" s="168">
        <f>IF(Q194=4,IF(P207=1,1,0),0)</f>
        <v>0</v>
      </c>
      <c r="R225" s="115">
        <f>IF(R194=4,IF(S207=1,1,0),0)</f>
        <v>0</v>
      </c>
      <c r="T225" s="168">
        <f>IF(T194=4,IF(S207=1,1,0),0)</f>
        <v>0</v>
      </c>
      <c r="U225" s="115">
        <f>IF(U194=4,IF(V207=1,1,0),0)</f>
        <v>0</v>
      </c>
      <c r="W225" s="168">
        <f>IF(W194=4,IF(V207=1,1,0),0)</f>
        <v>0</v>
      </c>
      <c r="X225" s="115">
        <f>IF(X194=4,IF(Y207=1,1,0),0)</f>
        <v>0</v>
      </c>
      <c r="Z225" s="168">
        <f>IF(Z194=4,IF(Y207=1,1,0),0)</f>
        <v>0</v>
      </c>
      <c r="AA225" s="115">
        <f>IF(AA194=4,IF(AB207=1,1,0),0)</f>
        <v>0</v>
      </c>
      <c r="AC225" s="168">
        <f>IF(AC194=4,IF(AB207=1,1,0),0)</f>
        <v>0</v>
      </c>
      <c r="AD225" s="115">
        <f>IF(AD194=4,IF(AE207=1,1,0),0)</f>
        <v>0</v>
      </c>
      <c r="AF225" s="168">
        <f>IF(AF194=4,IF(AE207=1,1,0),0)</f>
        <v>0</v>
      </c>
      <c r="AG225" s="115">
        <f>SUM(B225:AF225)</f>
        <v>0</v>
      </c>
      <c r="AW225" s="166"/>
    </row>
    <row r="226" spans="1:49" s="115" customFormat="1" ht="12.75" hidden="1" customHeight="1">
      <c r="A226" s="115" t="s">
        <v>47</v>
      </c>
      <c r="B226" s="115">
        <f>IF(B194=5,IF(C207=1,1,0),0)</f>
        <v>0</v>
      </c>
      <c r="D226" s="168">
        <f>IF(D194=5,IF(C207=1,1,0),0)</f>
        <v>0</v>
      </c>
      <c r="E226" s="115">
        <f>IF(E194=5,IF(F207=1,1,0),0)</f>
        <v>0</v>
      </c>
      <c r="G226" s="168">
        <f>IF(G194=5,IF(F207=1,1,0),0)</f>
        <v>0</v>
      </c>
      <c r="H226" s="115">
        <f>IF(H194=5,IF(I207=1,1,0),0)</f>
        <v>0</v>
      </c>
      <c r="J226" s="168">
        <f>IF(J194=5,IF(I207=1,1,0),0)</f>
        <v>0</v>
      </c>
      <c r="K226" s="168"/>
      <c r="L226" s="115">
        <f>IF(L194=5,IF(M207=1,1,0),0)</f>
        <v>0</v>
      </c>
      <c r="N226" s="168">
        <f>IF(N194=5,IF(M207=1,1,0),0)</f>
        <v>0</v>
      </c>
      <c r="O226" s="115">
        <f>IF(O194=5,IF(P207=1,1,0),0)</f>
        <v>0</v>
      </c>
      <c r="Q226" s="168">
        <f>IF(Q194=5,IF(P207=1,1,0),0)</f>
        <v>0</v>
      </c>
      <c r="R226" s="115">
        <f>IF(R194=5,IF(S207=1,1,0),0)</f>
        <v>0</v>
      </c>
      <c r="T226" s="168">
        <f>IF(T194=5,IF(S207=1,1,0),0)</f>
        <v>0</v>
      </c>
      <c r="U226" s="115">
        <f>IF(U194=5,IF(V207=1,1,0),0)</f>
        <v>0</v>
      </c>
      <c r="W226" s="168">
        <f>IF(W194=5,IF(V207=1,1,0),0)</f>
        <v>0</v>
      </c>
      <c r="X226" s="115">
        <f>IF(X194=5,IF(Y207=1,1,0),0)</f>
        <v>0</v>
      </c>
      <c r="Z226" s="168">
        <f>IF(Z194=5,IF(Y207=1,1,0),0)</f>
        <v>0</v>
      </c>
      <c r="AA226" s="115">
        <f>IF(AA194=5,IF(AB207=1,1,0),0)</f>
        <v>0</v>
      </c>
      <c r="AC226" s="168">
        <f>IF(AC194=5,IF(AB207=1,1,0),0)</f>
        <v>0</v>
      </c>
      <c r="AD226" s="115">
        <f>IF(AD194=5,IF(AE207=1,1,0),0)</f>
        <v>0</v>
      </c>
      <c r="AF226" s="168">
        <f>IF(AF194=5,IF(AE207=1,1,0),0)</f>
        <v>0</v>
      </c>
      <c r="AG226" s="115">
        <f>SUM(B226:AF226)</f>
        <v>0</v>
      </c>
      <c r="AW226" s="166"/>
    </row>
    <row r="227" spans="1:49" s="115" customFormat="1" ht="38.25" hidden="1" customHeight="1">
      <c r="A227" s="167"/>
      <c r="D227" s="168"/>
      <c r="G227" s="168"/>
      <c r="J227" s="168"/>
      <c r="K227" s="168"/>
      <c r="N227" s="168"/>
      <c r="Q227" s="168"/>
      <c r="T227" s="168"/>
      <c r="W227" s="168"/>
      <c r="Z227" s="168"/>
      <c r="AC227" s="168"/>
      <c r="AF227" s="168"/>
      <c r="AG227" s="167" t="s">
        <v>218</v>
      </c>
      <c r="AH227" s="392"/>
      <c r="AI227" s="392"/>
      <c r="AJ227" s="392"/>
      <c r="AK227" s="392"/>
      <c r="AL227" s="392"/>
      <c r="AW227" s="166"/>
    </row>
    <row r="228" spans="1:49" s="115" customFormat="1" ht="12.75" hidden="1" customHeight="1">
      <c r="A228" s="115" t="s">
        <v>43</v>
      </c>
      <c r="B228" s="115">
        <f>IF(B194=1,B214,0)</f>
        <v>49</v>
      </c>
      <c r="D228" s="168">
        <f>IF(D194=1,B214,0)</f>
        <v>0</v>
      </c>
      <c r="E228" s="115">
        <f>IF(E194=1,E214,0)</f>
        <v>0</v>
      </c>
      <c r="G228" s="168">
        <f>IF(G194=1,E214,0)</f>
        <v>0</v>
      </c>
      <c r="H228" s="115">
        <f>IF(H194=1,H214,0)</f>
        <v>39</v>
      </c>
      <c r="J228" s="168">
        <f>IF(J194=1,H214,0)</f>
        <v>0</v>
      </c>
      <c r="K228" s="168"/>
      <c r="L228" s="115">
        <f>IF(L194=1,L214,0)</f>
        <v>47</v>
      </c>
      <c r="N228" s="168">
        <f>IF(N194=1,L214,0)</f>
        <v>0</v>
      </c>
      <c r="O228" s="115">
        <f>IF(O194=1,O214,0)</f>
        <v>0</v>
      </c>
      <c r="Q228" s="168">
        <f>IF(Q194=1,O214,0)</f>
        <v>0</v>
      </c>
      <c r="R228" s="115">
        <f>IF(R194=1,R214,0)</f>
        <v>41</v>
      </c>
      <c r="T228" s="168">
        <f>IF(T194=1,R214,0)</f>
        <v>0</v>
      </c>
      <c r="U228" s="115">
        <f>IF(U194=1,U214,0)</f>
        <v>0</v>
      </c>
      <c r="W228" s="168">
        <f>IF(W194=1,U214,0)</f>
        <v>0</v>
      </c>
      <c r="X228" s="115">
        <f>IF(X194=1,X214,0)</f>
        <v>0</v>
      </c>
      <c r="Z228" s="168">
        <f>IF(Z194=1,X214,0)</f>
        <v>0</v>
      </c>
      <c r="AA228" s="115">
        <f>IF(AA194=1,AA214,0)</f>
        <v>0</v>
      </c>
      <c r="AC228" s="168">
        <f>IF(AC194=1,AA214,0)</f>
        <v>0</v>
      </c>
      <c r="AD228" s="115">
        <f>IF(AD194=1,AD214,0)</f>
        <v>0</v>
      </c>
      <c r="AF228" s="168">
        <f>IF(AF194=1,AD214,0)</f>
        <v>0</v>
      </c>
      <c r="AG228" s="115">
        <f>SUM(B228:AF228)</f>
        <v>176</v>
      </c>
      <c r="AW228" s="166"/>
    </row>
    <row r="229" spans="1:49" s="115" customFormat="1" ht="12.75" hidden="1" customHeight="1">
      <c r="A229" s="115" t="s">
        <v>44</v>
      </c>
      <c r="B229" s="115">
        <f>IF(B194=2,B214,0)</f>
        <v>0</v>
      </c>
      <c r="D229" s="168">
        <f>IF(D194=2,B214,0)</f>
        <v>0</v>
      </c>
      <c r="E229" s="115">
        <f>IF(E194=2,E214,0)</f>
        <v>46</v>
      </c>
      <c r="G229" s="168">
        <f>IF(G194=2,E214,0)</f>
        <v>0</v>
      </c>
      <c r="H229" s="115">
        <f>IF(H194=2,H214,0)</f>
        <v>0</v>
      </c>
      <c r="J229" s="168">
        <f>IF(J194=2,H214,0)</f>
        <v>39</v>
      </c>
      <c r="K229" s="168"/>
      <c r="L229" s="115">
        <f>IF(L194=2,L214,0)</f>
        <v>0</v>
      </c>
      <c r="N229" s="168">
        <f>IF(N194=2,L214,0)</f>
        <v>0</v>
      </c>
      <c r="O229" s="115">
        <f>IF(O194=2,O214,0)</f>
        <v>47</v>
      </c>
      <c r="Q229" s="168">
        <f>IF(Q194=2,O214,0)</f>
        <v>0</v>
      </c>
      <c r="R229" s="115">
        <f>IF(R194=2,R214,0)</f>
        <v>0</v>
      </c>
      <c r="T229" s="168">
        <f>IF(T194=2,R214,0)</f>
        <v>41</v>
      </c>
      <c r="U229" s="115">
        <f>IF(U194=2,U214,0)</f>
        <v>0</v>
      </c>
      <c r="W229" s="168">
        <f>IF(W194=2,U214,0)</f>
        <v>0</v>
      </c>
      <c r="X229" s="115">
        <f>IF(X194=2,X214,0)</f>
        <v>0</v>
      </c>
      <c r="Z229" s="168">
        <f>IF(Z194=2,X214,0)</f>
        <v>0</v>
      </c>
      <c r="AA229" s="115">
        <f>IF(AA194=2,AA214,0)</f>
        <v>0</v>
      </c>
      <c r="AC229" s="168">
        <f>IF(AC194=2,AA214,0)</f>
        <v>0</v>
      </c>
      <c r="AD229" s="115">
        <f>IF(AD194=2,AD214,0)</f>
        <v>0</v>
      </c>
      <c r="AF229" s="168">
        <f>IF(AF194=2,AD214,0)</f>
        <v>0</v>
      </c>
      <c r="AG229" s="115">
        <f>SUM(B229:AF229)</f>
        <v>173</v>
      </c>
      <c r="AW229" s="166"/>
    </row>
    <row r="230" spans="1:49" s="115" customFormat="1" ht="12.75" hidden="1" customHeight="1">
      <c r="A230" s="115" t="s">
        <v>45</v>
      </c>
      <c r="B230" s="115">
        <f>IF(B194=3,B214,0)</f>
        <v>0</v>
      </c>
      <c r="D230" s="168">
        <f>IF(D194=3,B214,0)</f>
        <v>49</v>
      </c>
      <c r="E230" s="115">
        <f>IF(E194=3,E214,0)</f>
        <v>0</v>
      </c>
      <c r="G230" s="168">
        <f>IF(G194=3,E214,0)</f>
        <v>46</v>
      </c>
      <c r="H230" s="115">
        <f>IF(H194=3,H214,0)</f>
        <v>0</v>
      </c>
      <c r="J230" s="168">
        <f>IF(J194=3,H214,0)</f>
        <v>0</v>
      </c>
      <c r="K230" s="168"/>
      <c r="L230" s="115">
        <f>IF(L194=3,L214,0)</f>
        <v>0</v>
      </c>
      <c r="N230" s="168">
        <f>IF(N194=3,L214,0)</f>
        <v>47</v>
      </c>
      <c r="O230" s="115">
        <f>IF(O194=3,O214,0)</f>
        <v>0</v>
      </c>
      <c r="Q230" s="168">
        <f>IF(Q194=3,O214,0)</f>
        <v>47</v>
      </c>
      <c r="R230" s="115">
        <f>IF(R194=3,R214,0)</f>
        <v>0</v>
      </c>
      <c r="T230" s="168">
        <f>IF(T194=3,R214,0)</f>
        <v>0</v>
      </c>
      <c r="U230" s="115">
        <f>IF(U194=3,U214,0)</f>
        <v>0</v>
      </c>
      <c r="W230" s="168">
        <f>IF(W194=3,U214,0)</f>
        <v>0</v>
      </c>
      <c r="X230" s="115">
        <f>IF(X194=3,X214,0)</f>
        <v>0</v>
      </c>
      <c r="Z230" s="168">
        <f>IF(Z194=3,X214,0)</f>
        <v>0</v>
      </c>
      <c r="AA230" s="115">
        <f>IF(AA194=3,AA214,0)</f>
        <v>0</v>
      </c>
      <c r="AC230" s="168">
        <f>IF(AC194=3,AA214,0)</f>
        <v>0</v>
      </c>
      <c r="AD230" s="115">
        <f>IF(AD194=3,AD214,0)</f>
        <v>0</v>
      </c>
      <c r="AF230" s="168">
        <f>IF(AF194=3,AD214,0)</f>
        <v>0</v>
      </c>
      <c r="AG230" s="115">
        <f>SUM(B230:AF230)</f>
        <v>189</v>
      </c>
      <c r="AW230" s="166"/>
    </row>
    <row r="231" spans="1:49" s="115" customFormat="1" ht="12.75" hidden="1" customHeight="1">
      <c r="A231" s="115" t="s">
        <v>46</v>
      </c>
      <c r="B231" s="115">
        <f>IF(B194=4,B214,0)</f>
        <v>0</v>
      </c>
      <c r="D231" s="168">
        <f>IF(D194=4,B214,0)</f>
        <v>0</v>
      </c>
      <c r="E231" s="115">
        <f>IF(E194=4,E214,0)</f>
        <v>0</v>
      </c>
      <c r="G231" s="168">
        <f>IF(G194=4,E214,0)</f>
        <v>0</v>
      </c>
      <c r="H231" s="115">
        <f>IF(H194=4,H214,0)</f>
        <v>0</v>
      </c>
      <c r="J231" s="168">
        <f>IF(J194=4,H214,0)</f>
        <v>0</v>
      </c>
      <c r="K231" s="168"/>
      <c r="L231" s="115">
        <f>IF(L194=4,L214,0)</f>
        <v>0</v>
      </c>
      <c r="N231" s="168">
        <f>IF(N194=4,L214,0)</f>
        <v>0</v>
      </c>
      <c r="O231" s="115">
        <f>IF(O194=4,O214,0)</f>
        <v>0</v>
      </c>
      <c r="Q231" s="168">
        <f>IF(Q194=4,O214,0)</f>
        <v>0</v>
      </c>
      <c r="R231" s="115">
        <f>IF(R194=4,R214,0)</f>
        <v>0</v>
      </c>
      <c r="T231" s="168">
        <f>IF(T194=4,R214,0)</f>
        <v>0</v>
      </c>
      <c r="U231" s="115">
        <f>IF(U194=4,U214,0)</f>
        <v>0</v>
      </c>
      <c r="W231" s="168">
        <f>IF(W194=4,U214,0)</f>
        <v>0</v>
      </c>
      <c r="X231" s="115">
        <f>IF(X194=4,X214,0)</f>
        <v>0</v>
      </c>
      <c r="Z231" s="168">
        <f>IF(Z194=4,X214,0)</f>
        <v>0</v>
      </c>
      <c r="AA231" s="115">
        <f>IF(AA194=4,AA214,0)</f>
        <v>0</v>
      </c>
      <c r="AC231" s="168">
        <f>IF(AC194=4,AA214,0)</f>
        <v>0</v>
      </c>
      <c r="AD231" s="115">
        <f>IF(AD194=4,AD214,0)</f>
        <v>0</v>
      </c>
      <c r="AF231" s="168">
        <f>IF(AF194=4,AD214,0)</f>
        <v>0</v>
      </c>
      <c r="AG231" s="115">
        <f>SUM(B231:AF231)</f>
        <v>0</v>
      </c>
      <c r="AW231" s="166"/>
    </row>
    <row r="232" spans="1:49" s="115" customFormat="1" ht="12.75" hidden="1" customHeight="1">
      <c r="A232" s="115" t="s">
        <v>47</v>
      </c>
      <c r="B232" s="115">
        <f>IF(B194=5,B214,0)</f>
        <v>0</v>
      </c>
      <c r="D232" s="168">
        <f>IF(D194=5,B214,0)</f>
        <v>0</v>
      </c>
      <c r="E232" s="115">
        <f>IF(E194=5,E214,0)</f>
        <v>0</v>
      </c>
      <c r="G232" s="168">
        <f>IF(G194=5,E214,0)</f>
        <v>0</v>
      </c>
      <c r="H232" s="115">
        <f>IF(H194=5,H214,0)</f>
        <v>0</v>
      </c>
      <c r="J232" s="168">
        <f>IF(J194=5,H214,0)</f>
        <v>0</v>
      </c>
      <c r="K232" s="168"/>
      <c r="L232" s="115">
        <f>IF(L194=5,L214,0)</f>
        <v>0</v>
      </c>
      <c r="N232" s="168">
        <f>IF(N194=5,L214,0)</f>
        <v>0</v>
      </c>
      <c r="O232" s="115">
        <f>IF(O194=5,O214,0)</f>
        <v>0</v>
      </c>
      <c r="Q232" s="168">
        <f>IF(Q194=5,O214,0)</f>
        <v>0</v>
      </c>
      <c r="R232" s="115">
        <f>IF(R194=5,R214,0)</f>
        <v>0</v>
      </c>
      <c r="T232" s="168">
        <f>IF(T194=5,R214,0)</f>
        <v>0</v>
      </c>
      <c r="U232" s="115">
        <f>IF(U194=5,U214,0)</f>
        <v>0</v>
      </c>
      <c r="W232" s="168">
        <f>IF(W194=5,U214,0)</f>
        <v>0</v>
      </c>
      <c r="X232" s="115">
        <f>IF(X194=5,X214,0)</f>
        <v>0</v>
      </c>
      <c r="Z232" s="168">
        <f>IF(Z194=5,X214,0)</f>
        <v>0</v>
      </c>
      <c r="AA232" s="115">
        <f>IF(AA194=5,AA214,0)</f>
        <v>0</v>
      </c>
      <c r="AC232" s="168">
        <f>IF(AC194=5,AA214,0)</f>
        <v>0</v>
      </c>
      <c r="AD232" s="115">
        <f>IF(AD194=5,AD214,0)</f>
        <v>0</v>
      </c>
      <c r="AF232" s="168">
        <f>IF(AF194=5,AD214,0)</f>
        <v>0</v>
      </c>
      <c r="AG232" s="115">
        <f>SUM(B232:AF232)</f>
        <v>0</v>
      </c>
      <c r="AW232" s="166"/>
    </row>
    <row r="233" spans="1:49" s="115" customFormat="1" ht="38.25" hidden="1" customHeight="1">
      <c r="A233" s="115" t="s">
        <v>48</v>
      </c>
      <c r="D233" s="168"/>
      <c r="G233" s="168"/>
      <c r="J233" s="168"/>
      <c r="K233" s="168"/>
      <c r="N233" s="168"/>
      <c r="Q233" s="168"/>
      <c r="T233" s="168"/>
      <c r="W233" s="168"/>
      <c r="Z233" s="168"/>
      <c r="AC233" s="168"/>
      <c r="AF233" s="168"/>
      <c r="AG233" s="167" t="s">
        <v>219</v>
      </c>
      <c r="AH233" s="115" t="s">
        <v>220</v>
      </c>
      <c r="AW233" s="166"/>
    </row>
    <row r="234" spans="1:49" s="115" customFormat="1" ht="12.75" hidden="1" customHeight="1">
      <c r="A234" s="115" t="s">
        <v>38</v>
      </c>
      <c r="B234" s="115">
        <f>IF(B194=1,SUMIF(B201:B205,"&gt;0"),0)</f>
        <v>2</v>
      </c>
      <c r="D234" s="168">
        <f>IF(D194=1,SUMIF(D201:D205,"&gt;0"),0)</f>
        <v>0</v>
      </c>
      <c r="E234" s="115">
        <f>IF(E194=1,SUMIF(E201:E205,"&gt;0"),0)</f>
        <v>0</v>
      </c>
      <c r="G234" s="168">
        <f>IF(G194=1,SUMIF(G201:G205,"&gt;0"),0)</f>
        <v>0</v>
      </c>
      <c r="H234" s="115">
        <f>IF(H194=1,SUMIF(H201:H205,"&gt;0"),0)</f>
        <v>0</v>
      </c>
      <c r="J234" s="168">
        <f>IF(J194=1,SUMIF(J201:J205,"&gt;0"),0)</f>
        <v>0</v>
      </c>
      <c r="K234" s="168"/>
      <c r="L234" s="115">
        <f>IF(L194=1,SUMIF(L201:L205,"&gt;0"),0)</f>
        <v>2</v>
      </c>
      <c r="N234" s="168">
        <f>IF(N194=1,SUMIF(N201:N205,"&gt;0"),0)</f>
        <v>0</v>
      </c>
      <c r="O234" s="115">
        <f>IF(O194=1,SUMIF(O201:O205,"&gt;0"),0)</f>
        <v>0</v>
      </c>
      <c r="Q234" s="168">
        <f>IF(Q194=1,SUMIF(Q201:Q205,"&gt;0"),0)</f>
        <v>0</v>
      </c>
      <c r="R234" s="115">
        <f>IF(R194=1,SUMIF(R201:R205,"&gt;0"),0)</f>
        <v>1</v>
      </c>
      <c r="T234" s="168">
        <f>IF(T194=1,SUMIF(T201:T205,"&gt;0"),0)</f>
        <v>0</v>
      </c>
      <c r="U234" s="115">
        <f>IF(U194=1,SUMIF(U201:U205,"&gt;0"),0)</f>
        <v>0</v>
      </c>
      <c r="W234" s="168">
        <f>IF(W194=1,SUMIF(W201:W205,"&gt;0"),0)</f>
        <v>0</v>
      </c>
      <c r="X234" s="115">
        <f>IF(X194=1,SUMIF(X201:X205,"&gt;0"),0)</f>
        <v>0</v>
      </c>
      <c r="Z234" s="168">
        <f>IF(Z194=1,SUMIF(Z201:Z205,"&gt;0"),0)</f>
        <v>0</v>
      </c>
      <c r="AA234" s="115">
        <f>IF(AA194=1,SUMIF(AA201:AA205,"&gt;0"),0)</f>
        <v>0</v>
      </c>
      <c r="AC234" s="168">
        <f>IF(AC194=1,SUMIF(AC201:AC205,"&gt;0"),0)</f>
        <v>0</v>
      </c>
      <c r="AD234" s="115">
        <f>IF(AD194=1,SUMIF(AD201:AD205,"&gt;0"),0)</f>
        <v>0</v>
      </c>
      <c r="AF234" s="168">
        <f>IF(AF194=1,SUMIF(AF201:AF205,"&gt;0"),0)</f>
        <v>0</v>
      </c>
      <c r="AG234" s="115">
        <f>SUM(B234:AF234)</f>
        <v>5</v>
      </c>
      <c r="AH234" s="115">
        <f>AG242-AG234</f>
        <v>3</v>
      </c>
      <c r="AW234" s="166"/>
    </row>
    <row r="235" spans="1:49" s="115" customFormat="1" ht="12.75" hidden="1" customHeight="1">
      <c r="A235" s="115" t="s">
        <v>39</v>
      </c>
      <c r="B235" s="115">
        <f>IF(B194=2,SUMIF(B201:B205,"&gt;0"),0)</f>
        <v>0</v>
      </c>
      <c r="D235" s="168">
        <f>IF(D194=2,SUMIF(D201:D205,"&gt;0"),0)</f>
        <v>0</v>
      </c>
      <c r="E235" s="115">
        <f>IF(E194=2,SUMIF(E201:E205,"&gt;0"),0)</f>
        <v>2</v>
      </c>
      <c r="G235" s="168">
        <f>IF(G194=2,SUMIF(G201:G205,"&gt;0"),0)</f>
        <v>0</v>
      </c>
      <c r="H235" s="115">
        <f>IF(H194=2,SUMIF(H201:H205,"&gt;0"),0)</f>
        <v>0</v>
      </c>
      <c r="J235" s="168">
        <f>IF(J194=2,SUMIF(J201:J205,"&gt;0"),0)</f>
        <v>2</v>
      </c>
      <c r="K235" s="168"/>
      <c r="L235" s="115">
        <f>IF(L194=2,SUMIF(L201:L205,"&gt;0"),0)</f>
        <v>0</v>
      </c>
      <c r="N235" s="168">
        <f>IF(N194=2,SUMIF(N201:N205,"&gt;0"),0)</f>
        <v>0</v>
      </c>
      <c r="O235" s="115">
        <f>IF(O194=2,SUMIF(O201:O205,"&gt;0"),0)</f>
        <v>2</v>
      </c>
      <c r="Q235" s="168">
        <f>IF(Q194=2,SUMIF(Q201:Q205,"&gt;0"),0)</f>
        <v>0</v>
      </c>
      <c r="R235" s="115">
        <f>IF(R194=2,SUMIF(R201:R205,"&gt;0"),0)</f>
        <v>0</v>
      </c>
      <c r="T235" s="168">
        <f>IF(T194=2,SUMIF(T201:T205,"&gt;0"),0)</f>
        <v>1</v>
      </c>
      <c r="U235" s="115">
        <f>IF(U194=2,SUMIF(U201:U205,"&gt;0"),0)</f>
        <v>0</v>
      </c>
      <c r="W235" s="168">
        <f>IF(W194=2,SUMIF(W201:W205,"&gt;0"),0)</f>
        <v>0</v>
      </c>
      <c r="X235" s="115">
        <f>IF(X194=2,SUMIF(X201:X205,"&gt;0"),0)</f>
        <v>0</v>
      </c>
      <c r="Z235" s="168">
        <f>IF(Z194=2,SUMIF(Z201:Z205,"&gt;0"),0)</f>
        <v>0</v>
      </c>
      <c r="AA235" s="115">
        <f>IF(AA194=2,SUMIF(AA201:AA205,"&gt;0"),0)</f>
        <v>0</v>
      </c>
      <c r="AC235" s="168">
        <f>IF(AC194=2,SUMIF(AC201:AC205,"&gt;0"),0)</f>
        <v>0</v>
      </c>
      <c r="AD235" s="115">
        <f>IF(AD194=2,SUMIF(AD201:AD205,"&gt;0"),0)</f>
        <v>0</v>
      </c>
      <c r="AF235" s="168">
        <f>IF(AF194=2,SUMIF(AF201:AF205,"&gt;0"),0)</f>
        <v>0</v>
      </c>
      <c r="AG235" s="115">
        <f>SUM(B235:AF235)</f>
        <v>7</v>
      </c>
      <c r="AH235" s="115">
        <f>AG243-AG235</f>
        <v>1</v>
      </c>
      <c r="AW235" s="166"/>
    </row>
    <row r="236" spans="1:49" s="115" customFormat="1" ht="12.75" hidden="1" customHeight="1">
      <c r="A236" s="115" t="s">
        <v>40</v>
      </c>
      <c r="B236" s="115">
        <f>IF(B194=3,SUMIF(B201:B205,"&gt;0"),0)</f>
        <v>0</v>
      </c>
      <c r="D236" s="168">
        <f>IF(D194=3,SUMIF(D201:D205,"&gt;0"),0)</f>
        <v>0</v>
      </c>
      <c r="E236" s="115">
        <f>IF(E194=3,SUMIF(E201:E205,"&gt;0"),0)</f>
        <v>0</v>
      </c>
      <c r="G236" s="168">
        <f>IF(G194=3,SUMIF(G201:G205,"&gt;0"),0)</f>
        <v>0</v>
      </c>
      <c r="H236" s="115">
        <f>IF(H194=3,SUMIF(H201:H205,"&gt;0"),0)</f>
        <v>0</v>
      </c>
      <c r="J236" s="168">
        <f>IF(J194=3,SUMIF(J201:J205,"&gt;0"),0)</f>
        <v>0</v>
      </c>
      <c r="K236" s="168"/>
      <c r="L236" s="115">
        <f>IF(L194=3,SUMIF(L201:L205,"&gt;0"),0)</f>
        <v>0</v>
      </c>
      <c r="N236" s="168">
        <f>IF(N194=3,SUMIF(N201:N205,"&gt;0"),0)</f>
        <v>0</v>
      </c>
      <c r="O236" s="115">
        <f>IF(O194=3,SUMIF(O201:O205,"&gt;0"),0)</f>
        <v>0</v>
      </c>
      <c r="Q236" s="168">
        <f>IF(Q194=3,SUMIF(Q201:Q205,"&gt;0"),0)</f>
        <v>0</v>
      </c>
      <c r="R236" s="115">
        <f>IF(R194=3,SUMIF(R201:R205,"&gt;0"),0)</f>
        <v>0</v>
      </c>
      <c r="T236" s="168">
        <f>IF(T194=3,SUMIF(T201:T205,"&gt;0"),0)</f>
        <v>0</v>
      </c>
      <c r="U236" s="115">
        <f>IF(U194=3,SUMIF(U201:U205,"&gt;0"),0)</f>
        <v>0</v>
      </c>
      <c r="W236" s="168">
        <f>IF(W194=3,SUMIF(W201:W205,"&gt;0"),0)</f>
        <v>0</v>
      </c>
      <c r="X236" s="115">
        <f>IF(X194=3,SUMIF(X201:X205,"&gt;0"),0)</f>
        <v>0</v>
      </c>
      <c r="Z236" s="168">
        <f>IF(Z194=3,SUMIF(Z201:Z205,"&gt;0"),0)</f>
        <v>0</v>
      </c>
      <c r="AA236" s="115">
        <f>IF(AA194=3,SUMIF(AA201:AA205,"&gt;0"),0)</f>
        <v>0</v>
      </c>
      <c r="AC236" s="168">
        <f>IF(AC194=3,SUMIF(AC201:AC205,"&gt;0"),0)</f>
        <v>0</v>
      </c>
      <c r="AD236" s="115">
        <f>IF(AD194=3,SUMIF(AD201:AD205,"&gt;0"),0)</f>
        <v>0</v>
      </c>
      <c r="AF236" s="168">
        <f>IF(AF194=3,SUMIF(AF201:AF205,"&gt;0"),0)</f>
        <v>0</v>
      </c>
      <c r="AG236" s="115">
        <f>SUM(B236:AF236)</f>
        <v>0</v>
      </c>
      <c r="AH236" s="115">
        <f>AG244-AG236</f>
        <v>8</v>
      </c>
      <c r="AW236" s="166"/>
    </row>
    <row r="237" spans="1:49" s="115" customFormat="1" ht="12.75" hidden="1" customHeight="1">
      <c r="A237" s="115" t="s">
        <v>41</v>
      </c>
      <c r="B237" s="115">
        <f>IF(B194=4,SUMIF(B201:B205,"&gt;0"),0)</f>
        <v>0</v>
      </c>
      <c r="D237" s="168">
        <f>IF(D194=4,SUMIF(D201:D205,"&gt;0"),0)</f>
        <v>0</v>
      </c>
      <c r="E237" s="115">
        <f>IF(E194=4,SUMIF(E201:E205,"&gt;0"),0)</f>
        <v>0</v>
      </c>
      <c r="G237" s="168">
        <f>IF(G194=4,SUMIF(G201:G205,"&gt;0"),0)</f>
        <v>0</v>
      </c>
      <c r="H237" s="115">
        <f>IF(H194=4,SUMIF(H201:H205,"&gt;0"),0)</f>
        <v>0</v>
      </c>
      <c r="J237" s="168">
        <f>IF(J194=4,SUMIF(J201:J205,"&gt;0"),0)</f>
        <v>0</v>
      </c>
      <c r="K237" s="168"/>
      <c r="L237" s="115">
        <f>IF(L194=4,SUMIF(L201:L205,"&gt;0"),0)</f>
        <v>0</v>
      </c>
      <c r="N237" s="168">
        <f>IF(N194=4,SUMIF(N201:N205,"&gt;0"),0)</f>
        <v>0</v>
      </c>
      <c r="O237" s="115">
        <f>IF(O194=4,SUMIF(O201:O205,"&gt;0"),0)</f>
        <v>0</v>
      </c>
      <c r="Q237" s="168">
        <f>IF(Q194=4,SUMIF(Q201:Q205,"&gt;0"),0)</f>
        <v>0</v>
      </c>
      <c r="R237" s="115">
        <f>IF(R194=4,SUMIF(R201:R205,"&gt;0"),0)</f>
        <v>0</v>
      </c>
      <c r="T237" s="168">
        <f>IF(T194=4,SUMIF(T201:T205,"&gt;0"),0)</f>
        <v>0</v>
      </c>
      <c r="U237" s="115">
        <f>IF(U194=4,SUMIF(U201:U205,"&gt;0"),0)</f>
        <v>0</v>
      </c>
      <c r="W237" s="168">
        <f>IF(W194=4,SUMIF(W201:W205,"&gt;0"),0)</f>
        <v>0</v>
      </c>
      <c r="X237" s="115">
        <f>IF(X194=4,SUMIF(X201:X205,"&gt;0"),0)</f>
        <v>0</v>
      </c>
      <c r="Z237" s="168">
        <f>IF(Z194=4,SUMIF(Z201:Z205,"&gt;0"),0)</f>
        <v>0</v>
      </c>
      <c r="AA237" s="115">
        <f>IF(AA194=4,SUMIF(AA201:AA205,"&gt;0"),0)</f>
        <v>0</v>
      </c>
      <c r="AC237" s="168">
        <f>IF(AC194=4,SUMIF(AC201:AC205,"&gt;0"),0)</f>
        <v>0</v>
      </c>
      <c r="AD237" s="115">
        <f>IF(AD194=4,SUMIF(AD201:AD205,"&gt;0"),0)</f>
        <v>0</v>
      </c>
      <c r="AF237" s="168">
        <f>IF(AF194=4,SUMIF(AF201:AF205,"&gt;0"),0)</f>
        <v>0</v>
      </c>
      <c r="AG237" s="115">
        <f>SUM(B237:AF237)</f>
        <v>0</v>
      </c>
      <c r="AH237" s="115">
        <f>AG245-AG237</f>
        <v>0</v>
      </c>
      <c r="AW237" s="166"/>
    </row>
    <row r="238" spans="1:49" s="115" customFormat="1" ht="12.75" hidden="1" customHeight="1">
      <c r="A238" s="115" t="s">
        <v>42</v>
      </c>
      <c r="B238" s="115">
        <f>IF(B194=5,SUMIF(B201:B205,"&gt;0"),0)</f>
        <v>0</v>
      </c>
      <c r="D238" s="168">
        <f>IF(D194=5,SUMIF(D201:D205,"&gt;0"),0)</f>
        <v>0</v>
      </c>
      <c r="E238" s="115">
        <f>IF(E194=5,SUMIF(E201:E205,"&gt;0"),0)</f>
        <v>0</v>
      </c>
      <c r="G238" s="168">
        <f>IF(G194=5,SUMIF(G201:G205,"&gt;0"),0)</f>
        <v>0</v>
      </c>
      <c r="H238" s="115">
        <f>IF(H194=5,SUMIF(H201:H205,"&gt;0"),0)</f>
        <v>0</v>
      </c>
      <c r="J238" s="168">
        <f>IF(J194=5,SUMIF(J201:J205,"&gt;0"),0)</f>
        <v>0</v>
      </c>
      <c r="K238" s="168"/>
      <c r="L238" s="115">
        <f>IF(L194=5,SUMIF(L201:L205,"&gt;0"),0)</f>
        <v>0</v>
      </c>
      <c r="N238" s="168">
        <f>IF(N194=5,SUMIF(N201:N205,"&gt;0"),0)</f>
        <v>0</v>
      </c>
      <c r="O238" s="115">
        <f>IF(O194=5,SUMIF(O201:O205,"&gt;0"),0)</f>
        <v>0</v>
      </c>
      <c r="Q238" s="168">
        <f>IF(Q194=5,SUMIF(Q201:Q205,"&gt;0"),0)</f>
        <v>0</v>
      </c>
      <c r="R238" s="115">
        <f>IF(R194=5,SUMIF(R201:R205,"&gt;0"),0)</f>
        <v>0</v>
      </c>
      <c r="T238" s="168">
        <f>IF(T194=5,SUMIF(T201:T205,"&gt;0"),0)</f>
        <v>0</v>
      </c>
      <c r="U238" s="115">
        <f>IF(U194=5,SUMIF(U201:U205,"&gt;0"),0)</f>
        <v>0</v>
      </c>
      <c r="W238" s="168">
        <f>IF(W194=5,SUMIF(W201:W205,"&gt;0"),0)</f>
        <v>0</v>
      </c>
      <c r="X238" s="115">
        <f>IF(X194=5,SUMIF(X201:X205,"&gt;0"),0)</f>
        <v>0</v>
      </c>
      <c r="Z238" s="168">
        <f>IF(Z194=5,SUMIF(Z201:Z205,"&gt;0"),0)</f>
        <v>0</v>
      </c>
      <c r="AA238" s="115">
        <f>IF(AA194=5,SUMIF(AA201:AA205,"&gt;0"),0)</f>
        <v>0</v>
      </c>
      <c r="AC238" s="168">
        <f>IF(AC194=5,SUMIF(AC201:AC205,"&gt;0"),0)</f>
        <v>0</v>
      </c>
      <c r="AD238" s="115">
        <f>IF(AD194=5,SUMIF(AD201:AD205,"&gt;0"),0)</f>
        <v>0</v>
      </c>
      <c r="AF238" s="168">
        <f>IF(AF194=5,SUMIF(AF201:AF205,"&gt;0"),0)</f>
        <v>0</v>
      </c>
      <c r="AG238" s="115">
        <f>SUM(B238:AF238)</f>
        <v>0</v>
      </c>
      <c r="AH238" s="115">
        <f>AG246-AG238</f>
        <v>0</v>
      </c>
      <c r="AW238" s="166"/>
    </row>
    <row r="239" spans="1:49" s="115" customFormat="1" ht="12.75" hidden="1" customHeight="1">
      <c r="D239" s="168"/>
      <c r="G239" s="168"/>
      <c r="J239" s="168"/>
      <c r="K239" s="168"/>
      <c r="N239" s="168"/>
      <c r="Q239" s="168"/>
      <c r="T239" s="168"/>
      <c r="W239" s="168"/>
      <c r="Z239" s="168"/>
      <c r="AC239" s="168"/>
      <c r="AF239" s="168"/>
      <c r="AW239" s="166"/>
    </row>
    <row r="240" spans="1:49" s="115" customFormat="1" ht="12.75" hidden="1" customHeight="1">
      <c r="D240" s="168"/>
      <c r="G240" s="168"/>
      <c r="J240" s="168"/>
      <c r="K240" s="168"/>
      <c r="N240" s="168"/>
      <c r="Q240" s="168"/>
      <c r="T240" s="168"/>
      <c r="W240" s="168"/>
      <c r="Z240" s="168"/>
      <c r="AC240" s="168"/>
      <c r="AF240" s="168"/>
      <c r="AW240" s="166"/>
    </row>
    <row r="241" spans="1:81" s="115" customFormat="1" ht="51" hidden="1" customHeight="1">
      <c r="A241" s="167" t="s">
        <v>221</v>
      </c>
      <c r="C241" s="115">
        <f>SUMIF(B234:D238,"&gt;0")</f>
        <v>2</v>
      </c>
      <c r="D241" s="168"/>
      <c r="F241" s="115">
        <f>SUMIF(E234:G238,"&gt;0")</f>
        <v>2</v>
      </c>
      <c r="G241" s="168"/>
      <c r="I241" s="115">
        <f>SUMIF(H234:J238,"&gt;0")</f>
        <v>2</v>
      </c>
      <c r="J241" s="168"/>
      <c r="K241" s="168"/>
      <c r="M241" s="115">
        <f>SUMIF(L234:N238,"&gt;0")</f>
        <v>2</v>
      </c>
      <c r="N241" s="168"/>
      <c r="P241" s="115">
        <f>SUMIF(O234:Q238,"&gt;0")</f>
        <v>2</v>
      </c>
      <c r="Q241" s="168"/>
      <c r="S241" s="115">
        <f>SUMIF(R234:T238,"&gt;0")</f>
        <v>2</v>
      </c>
      <c r="T241" s="168"/>
      <c r="V241" s="115">
        <f>SUMIF(U234:W238,"&gt;0")</f>
        <v>0</v>
      </c>
      <c r="W241" s="168"/>
      <c r="Y241" s="115">
        <f>SUMIF(X234:Z238,"&gt;0")</f>
        <v>0</v>
      </c>
      <c r="Z241" s="168"/>
      <c r="AB241" s="115">
        <f>SUMIF(AA234:AC238,"&gt;0")</f>
        <v>0</v>
      </c>
      <c r="AC241" s="168"/>
      <c r="AE241" s="115">
        <f>SUMIF(AD234:AF238,"&gt;0")</f>
        <v>0</v>
      </c>
      <c r="AF241" s="168"/>
      <c r="AG241" s="167" t="s">
        <v>222</v>
      </c>
      <c r="AW241" s="166"/>
    </row>
    <row r="242" spans="1:81" s="115" customFormat="1" ht="12.75" hidden="1" customHeight="1">
      <c r="A242" s="115" t="s">
        <v>43</v>
      </c>
      <c r="B242" s="115">
        <f>IF(B194=1,C241,0)</f>
        <v>2</v>
      </c>
      <c r="D242" s="168">
        <f>IF(D194=1,C241,0)</f>
        <v>0</v>
      </c>
      <c r="E242" s="115">
        <f>IF(E194=1,F241,0)</f>
        <v>0</v>
      </c>
      <c r="G242" s="168">
        <f>IF(G194=1,F241,0)</f>
        <v>0</v>
      </c>
      <c r="H242" s="115">
        <f>IF(H194=1,I241,0)</f>
        <v>2</v>
      </c>
      <c r="J242" s="168">
        <f>IF(J194=1,I241,0)</f>
        <v>0</v>
      </c>
      <c r="K242" s="168"/>
      <c r="L242" s="115">
        <f>IF(L194=1,M241,0)</f>
        <v>2</v>
      </c>
      <c r="N242" s="168">
        <f>IF(N194=1,M241,0)</f>
        <v>0</v>
      </c>
      <c r="O242" s="115">
        <f>IF(O194=1,P241,0)</f>
        <v>0</v>
      </c>
      <c r="Q242" s="168">
        <f>IF(Q194=1,P241,0)</f>
        <v>0</v>
      </c>
      <c r="R242" s="115">
        <f>IF(R194=1,S241,0)</f>
        <v>2</v>
      </c>
      <c r="T242" s="168">
        <f>IF(T194=1,S241,0)</f>
        <v>0</v>
      </c>
      <c r="U242" s="115">
        <f>IF(U194=1,V241,0)</f>
        <v>0</v>
      </c>
      <c r="W242" s="168">
        <f>IF(W194=1,V241,0)</f>
        <v>0</v>
      </c>
      <c r="X242" s="115">
        <f>IF(X194=1,Y241,0)</f>
        <v>0</v>
      </c>
      <c r="Z242" s="168">
        <f>IF(Z194=1,Y241,0)</f>
        <v>0</v>
      </c>
      <c r="AA242" s="115">
        <f>IF(AA194=1,AB241,0)</f>
        <v>0</v>
      </c>
      <c r="AC242" s="168">
        <f>IF(AC194=1,AB241,0)</f>
        <v>0</v>
      </c>
      <c r="AD242" s="115">
        <f>IF(AD194=1,AE241,0)</f>
        <v>0</v>
      </c>
      <c r="AF242" s="168">
        <f>IF(AF194=1,AE241,0)</f>
        <v>0</v>
      </c>
      <c r="AG242" s="115">
        <f>SUM(B242:AF242)</f>
        <v>8</v>
      </c>
      <c r="AW242" s="166"/>
    </row>
    <row r="243" spans="1:81" s="115" customFormat="1" ht="12.75" hidden="1" customHeight="1">
      <c r="A243" s="115" t="s">
        <v>44</v>
      </c>
      <c r="B243" s="115">
        <f>IF(B194=2,C241,0)</f>
        <v>0</v>
      </c>
      <c r="D243" s="168">
        <f>IF(D194=2,C241,0)</f>
        <v>0</v>
      </c>
      <c r="E243" s="115">
        <f>IF(E194=2,F241,0)</f>
        <v>2</v>
      </c>
      <c r="G243" s="168">
        <f>IF(G194=2,F241,0)</f>
        <v>0</v>
      </c>
      <c r="H243" s="115">
        <f>IF(H194=2,I241,0)</f>
        <v>0</v>
      </c>
      <c r="J243" s="168">
        <f>IF(J194=2,I241,0)</f>
        <v>2</v>
      </c>
      <c r="K243" s="168"/>
      <c r="L243" s="115">
        <f>IF(L194=2,M241,0)</f>
        <v>0</v>
      </c>
      <c r="N243" s="168">
        <f>IF(N194=2,M241,0)</f>
        <v>0</v>
      </c>
      <c r="O243" s="115">
        <f>IF(O194=2,P241,0)</f>
        <v>2</v>
      </c>
      <c r="Q243" s="168">
        <f>IF(Q194=2,P241,0)</f>
        <v>0</v>
      </c>
      <c r="R243" s="115">
        <f>IF(R194=2,S241,0)</f>
        <v>0</v>
      </c>
      <c r="T243" s="168">
        <f>IF(T194=2,S241,0)</f>
        <v>2</v>
      </c>
      <c r="U243" s="115">
        <f>IF(U194=2,V241,0)</f>
        <v>0</v>
      </c>
      <c r="W243" s="168">
        <f>IF(W194=2,V241,0)</f>
        <v>0</v>
      </c>
      <c r="X243" s="115">
        <f>IF(X194=2,Y241,0)</f>
        <v>0</v>
      </c>
      <c r="Z243" s="168">
        <f>IF(Z194=2,Y241,0)</f>
        <v>0</v>
      </c>
      <c r="AA243" s="115">
        <f>IF(AA194=2,AB241,0)</f>
        <v>0</v>
      </c>
      <c r="AC243" s="168">
        <f>IF(AC194=2,AB241,0)</f>
        <v>0</v>
      </c>
      <c r="AD243" s="115">
        <f>IF(AD194=2,AE241,0)</f>
        <v>0</v>
      </c>
      <c r="AF243" s="168">
        <f>IF(AF194=2,AE241,0)</f>
        <v>0</v>
      </c>
      <c r="AG243" s="115">
        <f>SUM(B243:AF243)</f>
        <v>8</v>
      </c>
      <c r="AW243" s="166"/>
    </row>
    <row r="244" spans="1:81" s="115" customFormat="1" ht="12.75" hidden="1" customHeight="1">
      <c r="A244" s="115" t="s">
        <v>45</v>
      </c>
      <c r="B244" s="115">
        <f>IF(B194=3,C241,0)</f>
        <v>0</v>
      </c>
      <c r="D244" s="168">
        <f>IF(D194=3,C241,0)</f>
        <v>2</v>
      </c>
      <c r="E244" s="115">
        <f>IF(E194=3,F241,0)</f>
        <v>0</v>
      </c>
      <c r="G244" s="168">
        <f>IF(G194=3,F241,0)</f>
        <v>2</v>
      </c>
      <c r="H244" s="115">
        <f>IF(H194=3,I241,0)</f>
        <v>0</v>
      </c>
      <c r="J244" s="168">
        <f>IF(J194=3,I241,0)</f>
        <v>0</v>
      </c>
      <c r="K244" s="168"/>
      <c r="L244" s="115">
        <f>IF(L194=3,M241,0)</f>
        <v>0</v>
      </c>
      <c r="N244" s="168">
        <f>IF(N194=3,M241,0)</f>
        <v>2</v>
      </c>
      <c r="O244" s="115">
        <f>IF(O194=3,P241,0)</f>
        <v>0</v>
      </c>
      <c r="Q244" s="168">
        <f>IF(Q194=3,P241,0)</f>
        <v>2</v>
      </c>
      <c r="R244" s="115">
        <f>IF(R194=3,S241,0)</f>
        <v>0</v>
      </c>
      <c r="T244" s="168">
        <f>IF(T194=3,S241,0)</f>
        <v>0</v>
      </c>
      <c r="U244" s="115">
        <f>IF(U194=3,V241,0)</f>
        <v>0</v>
      </c>
      <c r="W244" s="168">
        <f>IF(W194=3,V241,0)</f>
        <v>0</v>
      </c>
      <c r="X244" s="115">
        <f>IF(X194=3,Y241,0)</f>
        <v>0</v>
      </c>
      <c r="Z244" s="168">
        <f>IF(Z194=3,Y241,0)</f>
        <v>0</v>
      </c>
      <c r="AA244" s="115">
        <f>IF(AA194=3,AB241,0)</f>
        <v>0</v>
      </c>
      <c r="AC244" s="168">
        <f>IF(AC194=3,AB241,0)</f>
        <v>0</v>
      </c>
      <c r="AD244" s="115">
        <f>IF(AD194=3,AE241,0)</f>
        <v>0</v>
      </c>
      <c r="AF244" s="168">
        <f>IF(AF194=3,AE241,0)</f>
        <v>0</v>
      </c>
      <c r="AG244" s="115">
        <f>SUM(B244:AF244)</f>
        <v>8</v>
      </c>
      <c r="AW244" s="166"/>
    </row>
    <row r="245" spans="1:81" s="115" customFormat="1" ht="12.75" hidden="1" customHeight="1">
      <c r="A245" s="115" t="s">
        <v>46</v>
      </c>
      <c r="B245" s="115">
        <f>IF(B194=4,C241,0)</f>
        <v>0</v>
      </c>
      <c r="D245" s="168">
        <f>IF(D194=4,C241,0)</f>
        <v>0</v>
      </c>
      <c r="E245" s="115">
        <f>IF(E194=4,F241,0)</f>
        <v>0</v>
      </c>
      <c r="G245" s="168">
        <f>IF(G194=4,F241,0)</f>
        <v>0</v>
      </c>
      <c r="H245" s="115">
        <f>IF(H194=4,I241,0)</f>
        <v>0</v>
      </c>
      <c r="J245" s="168">
        <f>IF(J194=4,I241,0)</f>
        <v>0</v>
      </c>
      <c r="K245" s="168"/>
      <c r="L245" s="115">
        <f>IF(L194=4,M241,0)</f>
        <v>0</v>
      </c>
      <c r="N245" s="168">
        <f>IF(N194=4,M241,0)</f>
        <v>0</v>
      </c>
      <c r="O245" s="115">
        <f>IF(O194=4,P241,0)</f>
        <v>0</v>
      </c>
      <c r="Q245" s="168">
        <f>IF(Q194=4,P241,0)</f>
        <v>0</v>
      </c>
      <c r="R245" s="115">
        <f>IF(R194=4,S241,0)</f>
        <v>0</v>
      </c>
      <c r="T245" s="168">
        <f>IF(T194=4,S241,0)</f>
        <v>0</v>
      </c>
      <c r="U245" s="115">
        <f>IF(U194=4,V241,0)</f>
        <v>0</v>
      </c>
      <c r="W245" s="168">
        <f>IF(W194=4,V241,0)</f>
        <v>0</v>
      </c>
      <c r="X245" s="115">
        <f>IF(X194=4,Y241,0)</f>
        <v>0</v>
      </c>
      <c r="Z245" s="168">
        <f>IF(Z194=4,Y241,0)</f>
        <v>0</v>
      </c>
      <c r="AA245" s="115">
        <f>IF(AA194=4,AB241,0)</f>
        <v>0</v>
      </c>
      <c r="AC245" s="168">
        <f>IF(AC194=4,AB241,0)</f>
        <v>0</v>
      </c>
      <c r="AD245" s="115">
        <f>IF(AD194=4,AE241,0)</f>
        <v>0</v>
      </c>
      <c r="AF245" s="168">
        <f>IF(AF194=4,AE241,0)</f>
        <v>0</v>
      </c>
      <c r="AG245" s="115">
        <f>SUM(B245:AF245)</f>
        <v>0</v>
      </c>
      <c r="AW245" s="166"/>
    </row>
    <row r="246" spans="1:81" s="115" customFormat="1" ht="12.75" hidden="1" customHeight="1">
      <c r="A246" s="115" t="s">
        <v>47</v>
      </c>
      <c r="B246" s="115">
        <f>IF(B194=5,C241,0)</f>
        <v>0</v>
      </c>
      <c r="D246" s="168">
        <f>IF(D194=5,C241,0)</f>
        <v>0</v>
      </c>
      <c r="E246" s="115">
        <f>IF(E194=5,F241,0)</f>
        <v>0</v>
      </c>
      <c r="G246" s="168">
        <f>IF(G194=5,F241,0)</f>
        <v>0</v>
      </c>
      <c r="H246" s="115">
        <f>IF(H194=5,I241,0)</f>
        <v>0</v>
      </c>
      <c r="J246" s="168">
        <f>IF(J194=5,I241,0)</f>
        <v>0</v>
      </c>
      <c r="K246" s="168"/>
      <c r="L246" s="115">
        <f>IF(L194=5,M241,0)</f>
        <v>0</v>
      </c>
      <c r="N246" s="168">
        <f>IF(N194=5,M241,0)</f>
        <v>0</v>
      </c>
      <c r="O246" s="115">
        <f>IF(O194=5,P241,0)</f>
        <v>0</v>
      </c>
      <c r="Q246" s="168">
        <f>IF(Q194=5,P241,0)</f>
        <v>0</v>
      </c>
      <c r="R246" s="115">
        <f>IF(R194=5,S241,0)</f>
        <v>0</v>
      </c>
      <c r="T246" s="168">
        <f>IF(T194=5,S241,0)</f>
        <v>0</v>
      </c>
      <c r="U246" s="115">
        <f>IF(U194=5,V241,0)</f>
        <v>0</v>
      </c>
      <c r="W246" s="168">
        <f>IF(W194=5,V241,0)</f>
        <v>0</v>
      </c>
      <c r="X246" s="115">
        <f>IF(X194=5,Y241,0)</f>
        <v>0</v>
      </c>
      <c r="Z246" s="168">
        <f>IF(Z194=5,Y241,0)</f>
        <v>0</v>
      </c>
      <c r="AA246" s="115">
        <f>IF(AA194=5,AB241,0)</f>
        <v>0</v>
      </c>
      <c r="AC246" s="168">
        <f>IF(AC194=5,AB241,0)</f>
        <v>0</v>
      </c>
      <c r="AD246" s="115">
        <f>IF(AD194=5,AE241,0)</f>
        <v>0</v>
      </c>
      <c r="AF246" s="168">
        <f>IF(AF194=5,AE241,0)</f>
        <v>0</v>
      </c>
      <c r="AG246" s="115">
        <f>SUM(B246:AF246)</f>
        <v>0</v>
      </c>
      <c r="AW246" s="166"/>
    </row>
    <row r="247" spans="1:81" hidden="1">
      <c r="A247" s="219"/>
      <c r="B247" s="219"/>
      <c r="C247" s="219"/>
      <c r="D247" s="219"/>
      <c r="E247" s="219"/>
      <c r="F247" s="219"/>
      <c r="G247" s="219"/>
      <c r="H247" s="219"/>
      <c r="I247" s="219"/>
      <c r="J247" s="219"/>
      <c r="K247" s="219"/>
      <c r="L247" s="219"/>
      <c r="M247" s="219"/>
      <c r="N247" s="219"/>
      <c r="O247" s="219"/>
      <c r="P247" s="219"/>
      <c r="Q247" s="219"/>
      <c r="R247" s="219"/>
      <c r="S247" s="219"/>
      <c r="T247" s="219"/>
      <c r="U247" s="219"/>
      <c r="V247" s="219"/>
      <c r="W247" s="219"/>
      <c r="X247" s="219"/>
      <c r="Y247" s="219"/>
      <c r="Z247" s="219"/>
      <c r="AA247" s="219"/>
      <c r="AB247" s="219"/>
      <c r="AC247" s="219"/>
      <c r="AD247" s="219"/>
      <c r="AE247" s="219"/>
      <c r="AF247" s="219"/>
      <c r="AG247" s="219"/>
      <c r="AH247" s="219"/>
      <c r="AI247" s="219"/>
      <c r="AJ247" s="219"/>
      <c r="AK247" s="219"/>
      <c r="AL247" s="219"/>
      <c r="AM247" s="219"/>
      <c r="AN247" s="219"/>
      <c r="AO247" s="220"/>
      <c r="AP247" s="220"/>
      <c r="AQ247" s="220"/>
      <c r="AR247" s="220"/>
      <c r="AS247" s="117"/>
      <c r="AT247" s="117"/>
      <c r="AU247" s="117"/>
      <c r="AV247" s="117"/>
      <c r="BB247" s="39"/>
      <c r="BE247" s="39"/>
      <c r="BH247" s="39"/>
      <c r="BK247" s="39"/>
      <c r="BN247" s="39"/>
      <c r="BQ247" s="39"/>
      <c r="BT247" s="39"/>
      <c r="BW247" s="39"/>
      <c r="BZ247" s="39"/>
      <c r="CC247" s="39"/>
    </row>
    <row r="248" spans="1:81" s="117" customFormat="1" hidden="1">
      <c r="A248" s="34"/>
      <c r="B248" s="34"/>
      <c r="C248" s="34" t="s">
        <v>223</v>
      </c>
      <c r="D248" s="34">
        <v>1</v>
      </c>
      <c r="E248" s="34"/>
      <c r="F248" s="34"/>
      <c r="G248" s="34">
        <v>2</v>
      </c>
      <c r="H248" s="34"/>
      <c r="I248" s="34"/>
      <c r="J248" s="34">
        <v>3</v>
      </c>
      <c r="K248" s="34"/>
      <c r="L248" s="34"/>
      <c r="M248" s="34"/>
      <c r="N248" s="34">
        <v>4</v>
      </c>
      <c r="O248" s="34"/>
      <c r="P248" s="34"/>
      <c r="Q248" s="34">
        <v>5</v>
      </c>
      <c r="R248" s="34"/>
      <c r="S248" s="34"/>
      <c r="T248" s="34">
        <v>6</v>
      </c>
      <c r="U248" s="34"/>
      <c r="V248" s="34"/>
      <c r="W248" s="34">
        <v>7</v>
      </c>
      <c r="X248" s="34"/>
      <c r="Y248" s="34"/>
      <c r="Z248" s="34">
        <v>8</v>
      </c>
      <c r="AA248" s="34"/>
      <c r="AB248" s="34"/>
      <c r="AC248" s="34">
        <v>9</v>
      </c>
      <c r="AD248" s="34"/>
      <c r="AE248" s="34"/>
      <c r="AF248" s="34">
        <v>10</v>
      </c>
      <c r="AG248" s="3"/>
      <c r="AH248" s="34"/>
      <c r="AJ248" s="169"/>
      <c r="AK248" s="3"/>
      <c r="AL248" s="3"/>
      <c r="AM248" s="3"/>
      <c r="AN248" s="3"/>
      <c r="AO248" s="3"/>
      <c r="AP248" s="3"/>
      <c r="AT248" s="169" t="s">
        <v>224</v>
      </c>
      <c r="AW248" s="170"/>
      <c r="BB248" s="170"/>
      <c r="BE248" s="170"/>
      <c r="BH248" s="170"/>
      <c r="BK248" s="170"/>
      <c r="BN248" s="170"/>
      <c r="BQ248" s="170"/>
      <c r="BT248" s="170"/>
      <c r="BW248" s="170"/>
      <c r="BZ248" s="170"/>
      <c r="CC248" s="170"/>
    </row>
    <row r="249" spans="1:81" s="117" customFormat="1" hidden="1">
      <c r="A249" s="171">
        <v>1</v>
      </c>
      <c r="B249" s="171" t="str">
        <f>E178</f>
        <v>SC Midlands KP Black</v>
      </c>
      <c r="C249" s="171">
        <f>VLOOKUP(B249,AU$3:AY$33,3,FALSE)</f>
        <v>1191.7380642227506</v>
      </c>
      <c r="D249" s="171">
        <f>IF(B242,B257,IF(D242,D257,C249))</f>
        <v>1206.3438589185432</v>
      </c>
      <c r="E249" s="171"/>
      <c r="F249" s="171"/>
      <c r="G249" s="171">
        <f>IF(E242,E257,IF(G242,G257,D249))</f>
        <v>1206.3438589185432</v>
      </c>
      <c r="H249" s="171"/>
      <c r="I249" s="171"/>
      <c r="J249" s="171">
        <f>IF(H242,H257,IF(J242,J257,G249))</f>
        <v>1189.0340434587017</v>
      </c>
      <c r="K249" s="171"/>
      <c r="L249" s="171"/>
      <c r="M249" s="171"/>
      <c r="N249" s="171">
        <f>IF(L242,L257,IF(N242,N257,J249))</f>
        <v>1202.4087667964188</v>
      </c>
      <c r="O249" s="171"/>
      <c r="P249" s="171"/>
      <c r="Q249" s="171">
        <f>IF(O242,O257,IF(Q242,Q257,N249))</f>
        <v>1202.4087667964188</v>
      </c>
      <c r="R249" s="171"/>
      <c r="S249" s="171"/>
      <c r="T249" s="171">
        <f>IF(R242,R257,IF(T242,T257,Q249))</f>
        <v>1202.6504789498138</v>
      </c>
      <c r="U249" s="171"/>
      <c r="V249" s="171"/>
      <c r="W249" s="171">
        <f>IF(U242,U257,IF(W242,W257,T249))</f>
        <v>1202.6504789498138</v>
      </c>
      <c r="X249" s="171"/>
      <c r="Y249" s="171"/>
      <c r="Z249" s="171">
        <f>IF(X242,X257,IF(Z242,Z257,W249))</f>
        <v>1202.6504789498138</v>
      </c>
      <c r="AA249" s="171"/>
      <c r="AB249" s="171"/>
      <c r="AC249" s="171">
        <f>IF(AA242,AA257,IF(AC242,AC257,Z249))</f>
        <v>1202.6504789498138</v>
      </c>
      <c r="AD249" s="171"/>
      <c r="AE249" s="171"/>
      <c r="AF249" s="171">
        <f>IF(AD242,AD257,IF(AF242,AF257,AC249))</f>
        <v>1202.6504789498138</v>
      </c>
      <c r="AG249" s="3"/>
      <c r="AH249" s="3"/>
      <c r="AK249" s="3"/>
      <c r="AL249" s="3"/>
      <c r="AM249" s="3"/>
      <c r="AN249" s="3"/>
      <c r="AO249" s="3"/>
      <c r="AP249" s="3"/>
      <c r="AT249" s="117" t="str">
        <f>B249</f>
        <v>SC Midlands KP Black</v>
      </c>
      <c r="AU249" s="117">
        <f>AF249</f>
        <v>1202.6504789498138</v>
      </c>
      <c r="AW249" s="170"/>
      <c r="BB249" s="170"/>
      <c r="BE249" s="170"/>
      <c r="BH249" s="170"/>
      <c r="BK249" s="170"/>
      <c r="BN249" s="170"/>
      <c r="BQ249" s="170"/>
      <c r="BT249" s="170"/>
      <c r="BW249" s="170"/>
      <c r="BZ249" s="170"/>
      <c r="CC249" s="170"/>
    </row>
    <row r="250" spans="1:81" s="117" customFormat="1" hidden="1">
      <c r="A250" s="171">
        <v>2</v>
      </c>
      <c r="B250" s="171" t="str">
        <f>E180</f>
        <v>SC Midlands KP Silver</v>
      </c>
      <c r="C250" s="171">
        <f>VLOOKUP(B250,AU$3:AY$33,3,FALSE)</f>
        <v>1162.564148165184</v>
      </c>
      <c r="D250" s="171">
        <f>IF(B243,B257,IF(D243,D257,C250))</f>
        <v>1162.564148165184</v>
      </c>
      <c r="E250" s="171"/>
      <c r="F250" s="171"/>
      <c r="G250" s="171">
        <f>IF(E243,E257,IF(G243,G257,D250))</f>
        <v>1177.8377843631572</v>
      </c>
      <c r="H250" s="171"/>
      <c r="I250" s="171"/>
      <c r="J250" s="171">
        <f>IF(H243,H257,IF(J243,J257,G250))</f>
        <v>1195.1475998229987</v>
      </c>
      <c r="K250" s="171"/>
      <c r="L250" s="171"/>
      <c r="M250" s="171"/>
      <c r="N250" s="171">
        <f>IF(L243,L257,IF(N243,N257,J250))</f>
        <v>1195.1475998229987</v>
      </c>
      <c r="O250" s="171"/>
      <c r="P250" s="171"/>
      <c r="Q250" s="171">
        <f>IF(O243,O257,IF(Q243,Q257,N250))</f>
        <v>1207.6578788626346</v>
      </c>
      <c r="R250" s="171"/>
      <c r="S250" s="171"/>
      <c r="T250" s="171">
        <f>IF(R243,R257,IF(T243,T257,Q250))</f>
        <v>1207.4161667092396</v>
      </c>
      <c r="U250" s="171"/>
      <c r="V250" s="171"/>
      <c r="W250" s="171">
        <f>IF(U243,U257,IF(W243,W257,T250))</f>
        <v>1207.4161667092396</v>
      </c>
      <c r="X250" s="171"/>
      <c r="Y250" s="171"/>
      <c r="Z250" s="171">
        <f>IF(X243,X257,IF(Z243,Z257,W250))</f>
        <v>1207.4161667092396</v>
      </c>
      <c r="AA250" s="171"/>
      <c r="AB250" s="171"/>
      <c r="AC250" s="171">
        <f>IF(AA243,AA257,IF(AC243,AC257,Z250))</f>
        <v>1207.4161667092396</v>
      </c>
      <c r="AD250" s="171"/>
      <c r="AE250" s="171"/>
      <c r="AF250" s="171">
        <f>IF(AD243,AD257,IF(AF243,AF257,AC250))</f>
        <v>1207.4161667092396</v>
      </c>
      <c r="AG250" s="3"/>
      <c r="AH250" s="3"/>
      <c r="AK250" s="3"/>
      <c r="AM250" s="3"/>
      <c r="AN250" s="3"/>
      <c r="AO250" s="3"/>
      <c r="AP250" s="3"/>
      <c r="AT250" s="117" t="str">
        <f>B250</f>
        <v>SC Midlands KP Silver</v>
      </c>
      <c r="AU250" s="117">
        <f>AF250</f>
        <v>1207.4161667092396</v>
      </c>
      <c r="AW250" s="170"/>
      <c r="BB250" s="170"/>
      <c r="BE250" s="170"/>
      <c r="BH250" s="170"/>
      <c r="BK250" s="170"/>
      <c r="BN250" s="170"/>
      <c r="BQ250" s="170"/>
      <c r="BT250" s="170"/>
      <c r="BW250" s="170"/>
      <c r="BZ250" s="170"/>
      <c r="CC250" s="170"/>
    </row>
    <row r="251" spans="1:81" s="117" customFormat="1" hidden="1">
      <c r="A251" s="171">
        <v>3</v>
      </c>
      <c r="B251" s="171" t="str">
        <f>E182</f>
        <v>Foothills Skylar</v>
      </c>
      <c r="C251" s="171">
        <f>VLOOKUP(B251,AU$3:AY$33,3,FALSE)</f>
        <v>1161.3863042207724</v>
      </c>
      <c r="D251" s="171">
        <f>IF(B244,B257,IF(D244,D257,C251))</f>
        <v>1146.7805095249798</v>
      </c>
      <c r="E251" s="171"/>
      <c r="F251" s="171"/>
      <c r="G251" s="171">
        <f>IF(E244,E257,IF(G244,G257,D251))</f>
        <v>1131.5068733270066</v>
      </c>
      <c r="H251" s="171"/>
      <c r="I251" s="171"/>
      <c r="J251" s="171">
        <f>IF(H244,H257,IF(J244,J257,G251))</f>
        <v>1131.5068733270066</v>
      </c>
      <c r="K251" s="171"/>
      <c r="L251" s="171"/>
      <c r="M251" s="171"/>
      <c r="N251" s="171">
        <f>IF(L244,L257,IF(N244,N257,J251))</f>
        <v>1118.1321499892895</v>
      </c>
      <c r="O251" s="171"/>
      <c r="P251" s="171"/>
      <c r="Q251" s="171">
        <f>IF(O244,O257,IF(Q244,Q257,N251))</f>
        <v>1105.6218709496536</v>
      </c>
      <c r="R251" s="171"/>
      <c r="S251" s="171"/>
      <c r="T251" s="171">
        <f>IF(R244,R257,IF(T244,T257,Q251))</f>
        <v>1105.6218709496536</v>
      </c>
      <c r="U251" s="171"/>
      <c r="V251" s="171"/>
      <c r="W251" s="171">
        <f>IF(U244,U257,IF(W244,W257,T251))</f>
        <v>1105.6218709496536</v>
      </c>
      <c r="X251" s="171"/>
      <c r="Y251" s="171"/>
      <c r="Z251" s="171">
        <f>IF(X244,X257,IF(Z244,Z257,W251))</f>
        <v>1105.6218709496536</v>
      </c>
      <c r="AA251" s="171"/>
      <c r="AB251" s="171"/>
      <c r="AC251" s="171">
        <f>IF(AA244,AA257,IF(AC244,AC257,Z251))</f>
        <v>1105.6218709496536</v>
      </c>
      <c r="AD251" s="171"/>
      <c r="AE251" s="171"/>
      <c r="AF251" s="171">
        <f>IF(AD244,AD257,IF(AF244,AF257,AC251))</f>
        <v>1105.6218709496536</v>
      </c>
      <c r="AG251" s="3"/>
      <c r="AH251" s="3"/>
      <c r="AK251" s="3"/>
      <c r="AM251" s="3"/>
      <c r="AN251" s="3"/>
      <c r="AO251" s="3"/>
      <c r="AP251" s="3"/>
      <c r="AT251" s="117" t="str">
        <f>B251</f>
        <v>Foothills Skylar</v>
      </c>
      <c r="AU251" s="117">
        <f>AF251</f>
        <v>1105.6218709496536</v>
      </c>
      <c r="AW251" s="170"/>
      <c r="BB251" s="170"/>
      <c r="BE251" s="170"/>
      <c r="BH251" s="170"/>
      <c r="BK251" s="170"/>
      <c r="BN251" s="170"/>
      <c r="BQ251" s="170"/>
      <c r="BT251" s="170"/>
      <c r="BW251" s="170"/>
      <c r="BZ251" s="170"/>
      <c r="CC251" s="170"/>
    </row>
    <row r="252" spans="1:81" s="117" customFormat="1" hidden="1">
      <c r="A252" s="171">
        <v>4</v>
      </c>
      <c r="B252" s="171">
        <f>E184</f>
        <v>0</v>
      </c>
      <c r="C252" s="171" t="e">
        <f>VLOOKUP(B252,AU$3:AY$33,3,FALSE)</f>
        <v>#N/A</v>
      </c>
      <c r="D252" s="171" t="e">
        <f>IF(B245,B257,IF(D245,D257,C252))</f>
        <v>#N/A</v>
      </c>
      <c r="E252" s="171"/>
      <c r="F252" s="171"/>
      <c r="G252" s="171" t="e">
        <f>IF(E245,E257,IF(G245,G257,D252))</f>
        <v>#N/A</v>
      </c>
      <c r="H252" s="171"/>
      <c r="I252" s="171"/>
      <c r="J252" s="171" t="e">
        <f>IF(H245,H257,IF(J245,J257,G252))</f>
        <v>#N/A</v>
      </c>
      <c r="K252" s="171"/>
      <c r="L252" s="171"/>
      <c r="M252" s="171"/>
      <c r="N252" s="171" t="e">
        <f>IF(L245,L257,IF(N245,N257,J252))</f>
        <v>#N/A</v>
      </c>
      <c r="O252" s="171"/>
      <c r="P252" s="171"/>
      <c r="Q252" s="171" t="e">
        <f>IF(O245,O257,IF(Q245,Q257,N252))</f>
        <v>#N/A</v>
      </c>
      <c r="R252" s="171"/>
      <c r="S252" s="171"/>
      <c r="T252" s="171" t="e">
        <f>IF(R245,R257,IF(T245,T257,Q252))</f>
        <v>#N/A</v>
      </c>
      <c r="U252" s="171"/>
      <c r="V252" s="171"/>
      <c r="W252" s="171" t="e">
        <f>IF(U245,U257,IF(W245,W257,T252))</f>
        <v>#N/A</v>
      </c>
      <c r="X252" s="171"/>
      <c r="Y252" s="171"/>
      <c r="Z252" s="171" t="e">
        <f>IF(X245,X257,IF(Z245,Z257,W252))</f>
        <v>#N/A</v>
      </c>
      <c r="AA252" s="171"/>
      <c r="AB252" s="171"/>
      <c r="AC252" s="171" t="e">
        <f>IF(AA245,AA257,IF(AC245,AC257,Z252))</f>
        <v>#N/A</v>
      </c>
      <c r="AD252" s="171"/>
      <c r="AE252" s="171"/>
      <c r="AF252" s="171" t="e">
        <f>IF(AD245,AD257,IF(AF245,AF257,AC252))</f>
        <v>#N/A</v>
      </c>
      <c r="AG252" s="3"/>
      <c r="AH252" s="3"/>
      <c r="AK252" s="3"/>
      <c r="AM252" s="3"/>
      <c r="AN252" s="3"/>
      <c r="AO252" s="3"/>
      <c r="AP252" s="3"/>
      <c r="AT252" s="117">
        <f>B252</f>
        <v>0</v>
      </c>
      <c r="AU252" s="117" t="e">
        <f>AF252</f>
        <v>#N/A</v>
      </c>
      <c r="AW252" s="170"/>
      <c r="BB252" s="170"/>
      <c r="BE252" s="170"/>
      <c r="BH252" s="170"/>
      <c r="BK252" s="170"/>
      <c r="BN252" s="170"/>
      <c r="BQ252" s="170"/>
      <c r="BT252" s="170"/>
      <c r="BW252" s="170"/>
      <c r="BZ252" s="170"/>
      <c r="CC252" s="170"/>
    </row>
    <row r="253" spans="1:81" s="117" customFormat="1" hidden="1">
      <c r="A253" s="171">
        <v>5</v>
      </c>
      <c r="B253" s="171">
        <f>E186</f>
        <v>0</v>
      </c>
      <c r="C253" s="171" t="e">
        <f>VLOOKUP(B253,AU$3:AY$33,3,FALSE)</f>
        <v>#N/A</v>
      </c>
      <c r="D253" s="171" t="e">
        <f>IF(B246,B257,IF(D246,D257,C253))</f>
        <v>#N/A</v>
      </c>
      <c r="E253" s="171"/>
      <c r="F253" s="171"/>
      <c r="G253" s="171" t="e">
        <f>IF(E246,E257,IF(G246,G257,D253))</f>
        <v>#N/A</v>
      </c>
      <c r="H253" s="171"/>
      <c r="I253" s="171"/>
      <c r="J253" s="171" t="e">
        <f>IF(H246,H257,IF(J246,J257,G253))</f>
        <v>#N/A</v>
      </c>
      <c r="K253" s="171"/>
      <c r="L253" s="171"/>
      <c r="M253" s="171"/>
      <c r="N253" s="171" t="e">
        <f>IF(L246,L257,IF(N246,N257,J253))</f>
        <v>#N/A</v>
      </c>
      <c r="O253" s="171"/>
      <c r="P253" s="171"/>
      <c r="Q253" s="171" t="e">
        <f>IF(O246,O257,IF(Q246,Q257,N253))</f>
        <v>#N/A</v>
      </c>
      <c r="R253" s="171"/>
      <c r="S253" s="171"/>
      <c r="T253" s="171" t="e">
        <f>IF(R246,R257,IF(T246,T257,Q253))</f>
        <v>#N/A</v>
      </c>
      <c r="U253" s="171"/>
      <c r="V253" s="171"/>
      <c r="W253" s="171" t="e">
        <f>IF(U246,U257,IF(W246,W257,T253))</f>
        <v>#N/A</v>
      </c>
      <c r="X253" s="171"/>
      <c r="Y253" s="171"/>
      <c r="Z253" s="171" t="e">
        <f>IF(X246,X257,IF(Z246,Z257,W253))</f>
        <v>#N/A</v>
      </c>
      <c r="AA253" s="171"/>
      <c r="AB253" s="171"/>
      <c r="AC253" s="171" t="e">
        <f>IF(AA246,AA257,IF(AC246,AC257,Z253))</f>
        <v>#N/A</v>
      </c>
      <c r="AD253" s="171"/>
      <c r="AE253" s="171"/>
      <c r="AF253" s="171" t="e">
        <f>IF(AD246,AD257,IF(AF246,AF257,AC253))</f>
        <v>#N/A</v>
      </c>
      <c r="AG253" s="3"/>
      <c r="AH253" s="3"/>
      <c r="AK253" s="3"/>
      <c r="AM253" s="3"/>
      <c r="AN253" s="3"/>
      <c r="AO253" s="3"/>
      <c r="AP253" s="3"/>
      <c r="AT253" s="117">
        <f>B253</f>
        <v>0</v>
      </c>
      <c r="AU253" s="117" t="e">
        <f>AF253</f>
        <v>#N/A</v>
      </c>
      <c r="AW253" s="170"/>
      <c r="BB253" s="170"/>
      <c r="BE253" s="170"/>
      <c r="BH253" s="170"/>
      <c r="BK253" s="170"/>
      <c r="BN253" s="170"/>
      <c r="BQ253" s="170"/>
      <c r="BT253" s="170"/>
      <c r="BW253" s="170"/>
      <c r="BZ253" s="170"/>
      <c r="CC253" s="170"/>
    </row>
    <row r="254" spans="1:81" s="117" customFormat="1" hidden="1">
      <c r="A254" s="171"/>
      <c r="B254" s="171"/>
      <c r="C254" s="171"/>
      <c r="D254" s="171"/>
      <c r="E254" s="171"/>
      <c r="F254" s="171"/>
      <c r="G254" s="171"/>
      <c r="H254" s="171"/>
      <c r="I254" s="171"/>
      <c r="J254" s="171"/>
      <c r="K254" s="171"/>
      <c r="L254" s="171"/>
      <c r="M254" s="171"/>
      <c r="N254" s="171"/>
      <c r="O254" s="171"/>
      <c r="P254" s="171"/>
      <c r="Q254" s="171"/>
      <c r="R254" s="171"/>
      <c r="S254" s="171"/>
      <c r="T254" s="171"/>
      <c r="U254" s="171"/>
      <c r="V254" s="171"/>
      <c r="W254" s="171"/>
      <c r="X254" s="171"/>
      <c r="Y254" s="171"/>
      <c r="Z254" s="171"/>
      <c r="AA254" s="171"/>
      <c r="AB254" s="171"/>
      <c r="AC254" s="171"/>
      <c r="AD254" s="171"/>
      <c r="AE254" s="171"/>
      <c r="AF254" s="171"/>
      <c r="AG254" s="3"/>
      <c r="AH254" s="3"/>
      <c r="AK254" s="3"/>
      <c r="AM254" s="3"/>
      <c r="AN254" s="3"/>
      <c r="AO254" s="3"/>
      <c r="AP254" s="3"/>
      <c r="AW254" s="170"/>
      <c r="BB254" s="170"/>
      <c r="BE254" s="170"/>
      <c r="BH254" s="170"/>
      <c r="BK254" s="170"/>
      <c r="BN254" s="170"/>
      <c r="BQ254" s="170"/>
      <c r="BT254" s="170"/>
      <c r="BW254" s="170"/>
      <c r="BZ254" s="170"/>
      <c r="CC254" s="170"/>
    </row>
    <row r="255" spans="1:81" s="117" customFormat="1" hidden="1">
      <c r="A255" s="171" t="s">
        <v>225</v>
      </c>
      <c r="B255" s="171">
        <f>VLOOKUP(B194,$A249:$AF253,3,FALSE)</f>
        <v>1191.7380642227506</v>
      </c>
      <c r="C255" s="171">
        <v>1</v>
      </c>
      <c r="D255" s="171">
        <f>VLOOKUP(D194,$A249:$AF253,3,FALSE)</f>
        <v>1161.3863042207724</v>
      </c>
      <c r="E255" s="171">
        <f>VLOOKUP(E194,$A249:$AF253,4,FALSE)</f>
        <v>1162.564148165184</v>
      </c>
      <c r="F255" s="171">
        <v>2</v>
      </c>
      <c r="G255" s="171">
        <f>VLOOKUP(G194,$A249:$AF253,4,FALSE)</f>
        <v>1146.7805095249798</v>
      </c>
      <c r="H255" s="171">
        <f>VLOOKUP(H194,$A249:$AF253,7,FALSE)</f>
        <v>1206.3438589185432</v>
      </c>
      <c r="I255" s="171">
        <v>3</v>
      </c>
      <c r="J255" s="171">
        <f>VLOOKUP(J194,$A249:$AF253,7,FALSE)</f>
        <v>1177.8377843631572</v>
      </c>
      <c r="K255" s="171"/>
      <c r="L255" s="171">
        <f>VLOOKUP(L194,$A249:$AF253,10,FALSE)</f>
        <v>1189.0340434587017</v>
      </c>
      <c r="M255" s="171">
        <v>4</v>
      </c>
      <c r="N255" s="171">
        <f>VLOOKUP(N194,$A249:$AF253,10,FALSE)</f>
        <v>1131.5068733270066</v>
      </c>
      <c r="O255" s="171">
        <f>VLOOKUP(O194,$A249:$AF253,14,FALSE)</f>
        <v>1195.1475998229987</v>
      </c>
      <c r="P255" s="171">
        <v>5</v>
      </c>
      <c r="Q255" s="171">
        <f>VLOOKUP(Q194,$A249:$AF253,14,FALSE)</f>
        <v>1118.1321499892895</v>
      </c>
      <c r="R255" s="171">
        <f>VLOOKUP(R194,$A249:$AF253,17,FALSE)</f>
        <v>1202.4087667964188</v>
      </c>
      <c r="S255" s="171">
        <v>6</v>
      </c>
      <c r="T255" s="171">
        <f>VLOOKUP(T194,$A249:$AF253,17,FALSE)</f>
        <v>1207.6578788626346</v>
      </c>
      <c r="U255" s="171">
        <f>VLOOKUP(U194,$A249:$AF253,20,FALSE)</f>
        <v>1207.4161667092396</v>
      </c>
      <c r="V255" s="171">
        <v>7</v>
      </c>
      <c r="W255" s="171">
        <f>VLOOKUP(W194,$A249:$AF253,20,FALSE)</f>
        <v>1105.6218709496536</v>
      </c>
      <c r="X255" s="171">
        <f>VLOOKUP(X194,$A249:$AF253,23,FALSE)</f>
        <v>1202.6504789498138</v>
      </c>
      <c r="Y255" s="171">
        <v>8</v>
      </c>
      <c r="Z255" s="171" t="e">
        <f>VLOOKUP(Z194,$A249:$AF253,23,FALSE)</f>
        <v>#N/A</v>
      </c>
      <c r="AA255" s="171">
        <f>VLOOKUP(AA194,$A249:$AF253,26,FALSE)</f>
        <v>1105.6218709496536</v>
      </c>
      <c r="AB255" s="171">
        <v>9</v>
      </c>
      <c r="AC255" s="171" t="e">
        <f>VLOOKUP(AC194,$A249:$AF253,26,FALSE)</f>
        <v>#N/A</v>
      </c>
      <c r="AD255" s="171">
        <f>VLOOKUP(AD194,$A249:$AF253,29,FALSE)</f>
        <v>1202.6504789498138</v>
      </c>
      <c r="AE255" s="171">
        <v>10</v>
      </c>
      <c r="AF255" s="171">
        <f>VLOOKUP(AF194,$A249:$AF253,29,FALSE)</f>
        <v>1207.4161667092396</v>
      </c>
      <c r="AG255" s="3"/>
      <c r="AH255" s="219"/>
      <c r="AI255" s="219"/>
      <c r="AJ255" s="219"/>
      <c r="AK255" s="219"/>
      <c r="AL255" s="219"/>
      <c r="AM255" s="219"/>
      <c r="AN255" s="219"/>
      <c r="AO255" s="220"/>
      <c r="AP255" s="220"/>
      <c r="AQ255" s="220"/>
      <c r="AR255" s="220"/>
      <c r="AW255" s="170"/>
      <c r="BB255" s="170"/>
      <c r="BE255" s="170"/>
      <c r="BH255" s="170"/>
      <c r="BK255" s="170"/>
      <c r="BN255" s="170"/>
      <c r="BQ255" s="170"/>
      <c r="BT255" s="170"/>
      <c r="BW255" s="170"/>
      <c r="BZ255" s="170"/>
      <c r="CC255" s="170"/>
    </row>
    <row r="256" spans="1:81" s="176" customFormat="1" hidden="1">
      <c r="A256" s="172" t="s">
        <v>226</v>
      </c>
      <c r="B256" s="172">
        <f>1/(1+(10^-((B255-D255)/400)))*(B206+D206)</f>
        <v>1.0871378315129554</v>
      </c>
      <c r="C256" s="172"/>
      <c r="D256" s="172">
        <f>1/(1+(10^-((D255-B255)/400)))*(B206+D206)</f>
        <v>0.91286216848704482</v>
      </c>
      <c r="E256" s="172">
        <f>1/(1+(10^-((E255-G255)/400)))*(E206+G206)</f>
        <v>1.0453977376266721</v>
      </c>
      <c r="F256" s="172"/>
      <c r="G256" s="172">
        <f>1/(1+(10^-((G255-E255)/400)))*(E206+G206)</f>
        <v>0.95460226237332779</v>
      </c>
      <c r="H256" s="172">
        <f>1/(1+(10^-((H255-J255)/400)))*(H206+J206)</f>
        <v>1.0818634662400879</v>
      </c>
      <c r="I256" s="172"/>
      <c r="J256" s="172">
        <f>1/(1+(10^-((J255-H255)/400)))*(H206+J206)</f>
        <v>0.918136533759912</v>
      </c>
      <c r="K256" s="172"/>
      <c r="L256" s="172">
        <f>1/(1+(10^-((L255-N255)/400)))*(L206+N206)</f>
        <v>1.1640797913926864</v>
      </c>
      <c r="M256" s="172"/>
      <c r="N256" s="172">
        <f>1/(1+(10^-((N255-L255)/400)))*(L206+N206)</f>
        <v>0.83592020860731353</v>
      </c>
      <c r="O256" s="172">
        <f>1/(1+(10^-((O255-Q255)/400)))*(O206+Q206)</f>
        <v>1.2181075600227653</v>
      </c>
      <c r="P256" s="172"/>
      <c r="Q256" s="172">
        <f>1/(1+(10^-((Q255-O255)/400)))*(O206+Q206)</f>
        <v>0.78189243997723479</v>
      </c>
      <c r="R256" s="172">
        <f>1/(1+(10^-((R255-T255)/400)))*(R206+T206)</f>
        <v>0.98489299041282263</v>
      </c>
      <c r="S256" s="172"/>
      <c r="T256" s="172">
        <f>1/(1+(10^-((T255-R255)/400)))*(R206+T206)</f>
        <v>1.0151070095871773</v>
      </c>
      <c r="U256" s="172">
        <f>1/(1+(10^-((U255-W255)/400)))*(U206+W206)</f>
        <v>0</v>
      </c>
      <c r="V256" s="172"/>
      <c r="W256" s="172">
        <f>1/(1+(10^-((W255-U255)/400)))*(U206+W206)</f>
        <v>0</v>
      </c>
      <c r="X256" s="172" t="e">
        <f>1/(1+(10^-((X255-Z255)/400)))*(X206+Z206)</f>
        <v>#N/A</v>
      </c>
      <c r="Y256" s="172"/>
      <c r="Z256" s="172" t="e">
        <f>1/(1+(10^-((Z255-X255)/400)))*(X206+Z206)</f>
        <v>#N/A</v>
      </c>
      <c r="AA256" s="172" t="e">
        <f>1/(1+(10^-((AA255-AC255)/400)))*(AA206+AC206)</f>
        <v>#N/A</v>
      </c>
      <c r="AB256" s="172"/>
      <c r="AC256" s="172" t="e">
        <f>1/(1+(10^-((AC255-AA255)/400)))*(AA206+AC206)</f>
        <v>#N/A</v>
      </c>
      <c r="AD256" s="172">
        <f>1/(1+(10^-((AD255-AF255)/400)))*(AD206+AF206)</f>
        <v>0</v>
      </c>
      <c r="AE256" s="172"/>
      <c r="AF256" s="172">
        <f>1/(1+(10^-((AF255-AD255)/400)))*(AD206+AF206)</f>
        <v>0</v>
      </c>
      <c r="AG256" s="173"/>
      <c r="AH256" s="174"/>
      <c r="AI256" s="174"/>
      <c r="AJ256" s="174"/>
      <c r="AK256" s="174"/>
      <c r="AL256" s="174"/>
      <c r="AM256" s="174"/>
      <c r="AN256" s="174"/>
      <c r="AO256" s="175"/>
      <c r="AP256" s="175"/>
      <c r="AQ256" s="175"/>
      <c r="AR256" s="175"/>
      <c r="AW256" s="177"/>
      <c r="BB256" s="177"/>
      <c r="BE256" s="177"/>
      <c r="BH256" s="177"/>
      <c r="BK256" s="177"/>
      <c r="BN256" s="177"/>
      <c r="BQ256" s="177"/>
      <c r="BT256" s="177"/>
      <c r="BW256" s="177"/>
      <c r="BZ256" s="177"/>
      <c r="CC256" s="177"/>
    </row>
    <row r="257" spans="1:81" s="182" customFormat="1" hidden="1">
      <c r="A257" s="178" t="s">
        <v>227</v>
      </c>
      <c r="B257" s="178">
        <f>B255+(B206-B256)*$BA$1</f>
        <v>1206.3438589185432</v>
      </c>
      <c r="C257" s="178"/>
      <c r="D257" s="178">
        <f>D255+(D206-D256)*$BA$1</f>
        <v>1146.7805095249798</v>
      </c>
      <c r="E257" s="178">
        <f>E255+(E206-E256)*$BA$1</f>
        <v>1177.8377843631572</v>
      </c>
      <c r="F257" s="178"/>
      <c r="G257" s="178">
        <f>G255+(G206-G256)*$BA$1</f>
        <v>1131.5068733270066</v>
      </c>
      <c r="H257" s="178">
        <f>H255+(H206-H256)*$BA$1</f>
        <v>1189.0340434587017</v>
      </c>
      <c r="I257" s="178"/>
      <c r="J257" s="178">
        <f>J255+(J206-J256)*$BA$1</f>
        <v>1195.1475998229987</v>
      </c>
      <c r="K257" s="178"/>
      <c r="L257" s="178">
        <f>L255+(L206-L256)*$BA$1</f>
        <v>1202.4087667964188</v>
      </c>
      <c r="M257" s="178"/>
      <c r="N257" s="178">
        <f>N255+(N206-N256)*$BA$1</f>
        <v>1118.1321499892895</v>
      </c>
      <c r="O257" s="178">
        <f>O255+(O206-O256)*$BA$1</f>
        <v>1207.6578788626346</v>
      </c>
      <c r="P257" s="178"/>
      <c r="Q257" s="178">
        <f>Q255+(Q206-Q256)*$BA$1</f>
        <v>1105.6218709496536</v>
      </c>
      <c r="R257" s="178">
        <f>R255+(R206-R256)*$BA$1</f>
        <v>1202.6504789498138</v>
      </c>
      <c r="S257" s="178"/>
      <c r="T257" s="178">
        <f>T255+(T206-T256)*$BA$1</f>
        <v>1207.4161667092396</v>
      </c>
      <c r="U257" s="178">
        <f>U255+(U206-U256)*$BA$1</f>
        <v>1207.4161667092396</v>
      </c>
      <c r="V257" s="178"/>
      <c r="W257" s="178">
        <f>W255+(W206-W256)*$BA$1</f>
        <v>1105.6218709496536</v>
      </c>
      <c r="X257" s="178" t="e">
        <f>X255+(X206-X256)*$BA$1</f>
        <v>#N/A</v>
      </c>
      <c r="Y257" s="178"/>
      <c r="Z257" s="178" t="e">
        <f>Z255+(Z206-Z256)*$BA$1</f>
        <v>#N/A</v>
      </c>
      <c r="AA257" s="178" t="e">
        <f>AA255+(AA206-AA256)*$BA$1</f>
        <v>#N/A</v>
      </c>
      <c r="AB257" s="178"/>
      <c r="AC257" s="178" t="e">
        <f>AC255+(AC206-AC256)*$BA$1</f>
        <v>#N/A</v>
      </c>
      <c r="AD257" s="178">
        <f>AD255+(AD206-AD256)*$BA$1</f>
        <v>1202.6504789498138</v>
      </c>
      <c r="AE257" s="178"/>
      <c r="AF257" s="178">
        <f>AF255+(AF206-AF256)*$BA$1</f>
        <v>1207.4161667092396</v>
      </c>
      <c r="AG257" s="179"/>
      <c r="AH257" s="180"/>
      <c r="AI257" s="180"/>
      <c r="AJ257" s="180"/>
      <c r="AK257" s="180"/>
      <c r="AL257" s="180"/>
      <c r="AM257" s="180"/>
      <c r="AN257" s="180"/>
      <c r="AO257" s="181"/>
      <c r="AP257" s="181"/>
      <c r="AQ257" s="181"/>
      <c r="AR257" s="181"/>
      <c r="AW257" s="183"/>
      <c r="BB257" s="183"/>
      <c r="BE257" s="183"/>
      <c r="BH257" s="183"/>
      <c r="BK257" s="183"/>
      <c r="BN257" s="183"/>
      <c r="BQ257" s="183"/>
      <c r="BT257" s="183"/>
      <c r="BW257" s="183"/>
      <c r="BZ257" s="183"/>
      <c r="CC257" s="183"/>
    </row>
    <row r="258" spans="1:81" s="182" customFormat="1" hidden="1">
      <c r="A258" s="178"/>
      <c r="B258" s="178"/>
      <c r="C258" s="178"/>
      <c r="D258" s="178"/>
      <c r="E258" s="178"/>
      <c r="F258" s="178"/>
      <c r="G258" s="178"/>
      <c r="H258" s="178"/>
      <c r="I258" s="178"/>
      <c r="J258" s="178"/>
      <c r="K258" s="178"/>
      <c r="L258" s="178"/>
      <c r="M258" s="178"/>
      <c r="N258" s="178"/>
      <c r="O258" s="178"/>
      <c r="P258" s="178"/>
      <c r="Q258" s="178"/>
      <c r="R258" s="178"/>
      <c r="S258" s="178"/>
      <c r="T258" s="178"/>
      <c r="U258" s="178"/>
      <c r="V258" s="178"/>
      <c r="W258" s="178"/>
      <c r="X258" s="178"/>
      <c r="Y258" s="178"/>
      <c r="Z258" s="178"/>
      <c r="AA258" s="178"/>
      <c r="AB258" s="178"/>
      <c r="AC258" s="178"/>
      <c r="AD258" s="178"/>
      <c r="AE258" s="178"/>
      <c r="AF258" s="178"/>
      <c r="AG258" s="179"/>
      <c r="AH258" s="180"/>
      <c r="AI258" s="180"/>
      <c r="AJ258" s="180"/>
      <c r="AK258" s="180"/>
      <c r="AL258" s="180"/>
      <c r="AM258" s="180"/>
      <c r="AN258" s="180"/>
      <c r="AO258" s="181"/>
      <c r="AP258" s="181"/>
      <c r="AQ258" s="181"/>
      <c r="AR258" s="181"/>
      <c r="AW258" s="183"/>
      <c r="BB258" s="183"/>
      <c r="BE258" s="183"/>
      <c r="BH258" s="183"/>
      <c r="BK258" s="183"/>
      <c r="BN258" s="183"/>
      <c r="BQ258" s="183"/>
      <c r="BT258" s="183"/>
      <c r="BW258" s="183"/>
      <c r="BZ258" s="183"/>
      <c r="CC258" s="183"/>
    </row>
    <row r="259" spans="1:81" s="117" customFormat="1">
      <c r="A259" s="393" t="str">
        <f>IF($AL180=1,"Pool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Tiereaker : 1) Matches Won vs Lost (if 3 way tie then #4)  2) Head to Head  3) Game Win %  4) Total Pool Net Points  5) Flip a Coin</v>
      </c>
      <c r="B259" s="393"/>
      <c r="C259" s="393"/>
      <c r="D259" s="393"/>
      <c r="E259" s="393"/>
      <c r="F259" s="393"/>
      <c r="G259" s="393"/>
      <c r="H259" s="393"/>
      <c r="I259" s="393"/>
      <c r="J259" s="393"/>
      <c r="K259" s="393"/>
      <c r="L259" s="393"/>
      <c r="M259" s="393"/>
      <c r="N259" s="393"/>
      <c r="O259" s="393"/>
      <c r="P259" s="393"/>
      <c r="Q259" s="393"/>
      <c r="R259" s="393"/>
      <c r="S259" s="393"/>
      <c r="T259" s="393"/>
      <c r="U259" s="393"/>
      <c r="V259" s="393"/>
      <c r="W259" s="393"/>
      <c r="X259" s="393"/>
      <c r="Y259" s="393"/>
      <c r="Z259" s="393"/>
      <c r="AA259" s="393"/>
      <c r="AB259" s="393"/>
      <c r="AC259" s="393"/>
      <c r="AD259" s="393"/>
      <c r="AE259" s="393"/>
      <c r="AF259" s="393"/>
      <c r="AG259" s="393"/>
      <c r="AH259" s="393"/>
      <c r="AI259" s="393"/>
      <c r="AJ259" s="393"/>
      <c r="AK259" s="393"/>
      <c r="AL259" s="393"/>
      <c r="AM259" s="393"/>
      <c r="AN259" s="394"/>
      <c r="AO259" s="394"/>
      <c r="AP259" s="394"/>
      <c r="AQ259" s="394"/>
      <c r="AW259" s="170"/>
    </row>
    <row r="260" spans="1:81" s="117" customFormat="1">
      <c r="A260" s="395"/>
      <c r="B260" s="395"/>
      <c r="C260" s="395"/>
      <c r="D260" s="395"/>
      <c r="E260" s="395"/>
      <c r="F260" s="395"/>
      <c r="G260" s="395"/>
      <c r="H260" s="395"/>
      <c r="I260" s="395"/>
      <c r="J260" s="395"/>
      <c r="K260" s="395"/>
      <c r="L260" s="395"/>
      <c r="M260" s="395"/>
      <c r="N260" s="395"/>
      <c r="O260" s="395"/>
      <c r="P260" s="395"/>
      <c r="Q260" s="395"/>
      <c r="R260" s="395"/>
      <c r="S260" s="395"/>
      <c r="T260" s="395"/>
      <c r="U260" s="395"/>
      <c r="V260" s="395"/>
      <c r="W260" s="395"/>
      <c r="X260" s="395"/>
      <c r="Y260" s="395"/>
      <c r="Z260" s="395"/>
      <c r="AA260" s="395"/>
      <c r="AB260" s="395"/>
      <c r="AC260" s="395"/>
      <c r="AD260" s="395"/>
      <c r="AE260" s="395"/>
      <c r="AF260" s="395"/>
      <c r="AG260" s="395"/>
      <c r="AH260" s="395"/>
      <c r="AI260" s="395"/>
      <c r="AJ260" s="395"/>
      <c r="AK260" s="395"/>
      <c r="AL260" s="395"/>
      <c r="AM260" s="395"/>
      <c r="AN260" s="395"/>
      <c r="AO260" s="395"/>
      <c r="AP260" s="395"/>
      <c r="AQ260" s="395"/>
      <c r="AR260" s="395"/>
      <c r="AW260" s="170"/>
    </row>
    <row r="261" spans="1:81" ht="21" thickBot="1">
      <c r="A261" s="396" t="s">
        <v>230</v>
      </c>
      <c r="B261" s="396"/>
      <c r="C261" s="396"/>
      <c r="D261" s="396"/>
      <c r="E261" s="396"/>
      <c r="F261" s="396"/>
      <c r="G261" s="396"/>
      <c r="H261" s="396"/>
      <c r="I261" s="396"/>
      <c r="J261" s="396"/>
      <c r="K261" s="396"/>
      <c r="L261" s="396"/>
      <c r="M261" s="396"/>
      <c r="N261" s="396"/>
      <c r="O261" s="396"/>
      <c r="P261" s="396"/>
      <c r="Q261" s="396"/>
      <c r="R261" s="396"/>
      <c r="S261" s="396"/>
      <c r="T261" s="396"/>
      <c r="U261" s="396"/>
      <c r="V261" s="396"/>
      <c r="W261" s="396"/>
      <c r="X261" s="396"/>
      <c r="Y261" s="396"/>
      <c r="Z261" s="396"/>
      <c r="AA261" s="396"/>
      <c r="AB261" s="396"/>
      <c r="AC261" s="396"/>
      <c r="AD261" s="396"/>
      <c r="AE261" s="396"/>
      <c r="AF261" s="396"/>
      <c r="AG261" s="396"/>
      <c r="AH261" s="396"/>
      <c r="AI261" s="396"/>
      <c r="AJ261" s="396"/>
      <c r="AK261" s="396"/>
      <c r="AL261" s="396"/>
      <c r="AM261" s="396"/>
      <c r="AN261" s="396"/>
      <c r="AO261" s="396"/>
      <c r="AP261" s="396"/>
      <c r="AQ261" s="396"/>
    </row>
    <row r="262" spans="1:81" ht="13.5" thickBot="1">
      <c r="A262" s="397" t="s">
        <v>231</v>
      </c>
      <c r="B262" s="399" t="s">
        <v>232</v>
      </c>
      <c r="C262" s="400"/>
      <c r="D262" s="400"/>
      <c r="E262" s="400"/>
      <c r="F262" s="400"/>
      <c r="G262" s="400"/>
      <c r="H262" s="400"/>
      <c r="I262" s="400"/>
      <c r="J262" s="400"/>
      <c r="K262" s="400"/>
      <c r="L262" s="401"/>
      <c r="M262" s="399" t="s">
        <v>233</v>
      </c>
      <c r="N262" s="400"/>
      <c r="O262" s="400"/>
      <c r="P262" s="400"/>
      <c r="Q262" s="400"/>
      <c r="R262" s="400"/>
      <c r="S262" s="400"/>
      <c r="T262" s="400"/>
      <c r="U262" s="400"/>
      <c r="V262" s="400"/>
      <c r="W262" s="401"/>
      <c r="X262" s="402" t="s">
        <v>234</v>
      </c>
      <c r="Y262" s="403"/>
      <c r="Z262" s="403"/>
      <c r="AA262" s="403"/>
      <c r="AB262" s="403"/>
      <c r="AC262" s="403"/>
      <c r="AD262" s="403"/>
      <c r="AE262" s="403"/>
      <c r="AF262" s="403"/>
      <c r="AG262" s="404"/>
      <c r="AH262" s="402" t="s">
        <v>235</v>
      </c>
      <c r="AI262" s="403"/>
      <c r="AJ262" s="403"/>
      <c r="AK262" s="403"/>
      <c r="AL262" s="403"/>
      <c r="AM262" s="403"/>
      <c r="AN262" s="403"/>
      <c r="AO262" s="403"/>
      <c r="AP262" s="404"/>
    </row>
    <row r="263" spans="1:81" ht="13.5" thickBot="1">
      <c r="A263" s="398"/>
      <c r="B263" s="408" t="s">
        <v>5</v>
      </c>
      <c r="C263" s="409"/>
      <c r="D263" s="409"/>
      <c r="E263" s="409"/>
      <c r="F263" s="409" t="s">
        <v>236</v>
      </c>
      <c r="G263" s="409"/>
      <c r="H263" s="409"/>
      <c r="I263" s="409"/>
      <c r="J263" s="409" t="s">
        <v>237</v>
      </c>
      <c r="K263" s="409"/>
      <c r="L263" s="185" t="s">
        <v>4</v>
      </c>
      <c r="M263" s="408" t="s">
        <v>5</v>
      </c>
      <c r="N263" s="409"/>
      <c r="O263" s="409"/>
      <c r="P263" s="409"/>
      <c r="Q263" s="409"/>
      <c r="R263" s="409" t="s">
        <v>236</v>
      </c>
      <c r="S263" s="409"/>
      <c r="T263" s="409"/>
      <c r="U263" s="409" t="s">
        <v>237</v>
      </c>
      <c r="V263" s="409"/>
      <c r="W263" s="186" t="s">
        <v>4</v>
      </c>
      <c r="X263" s="408" t="s">
        <v>5</v>
      </c>
      <c r="Y263" s="409"/>
      <c r="Z263" s="409"/>
      <c r="AA263" s="409"/>
      <c r="AB263" s="409"/>
      <c r="AC263" s="409" t="s">
        <v>236</v>
      </c>
      <c r="AD263" s="409"/>
      <c r="AE263" s="409"/>
      <c r="AF263" s="218" t="s">
        <v>237</v>
      </c>
      <c r="AG263" s="186" t="s">
        <v>4</v>
      </c>
      <c r="AH263" s="408" t="s">
        <v>5</v>
      </c>
      <c r="AI263" s="409"/>
      <c r="AJ263" s="409"/>
      <c r="AK263" s="409" t="s">
        <v>236</v>
      </c>
      <c r="AL263" s="409"/>
      <c r="AM263" s="409"/>
      <c r="AN263" s="409" t="s">
        <v>237</v>
      </c>
      <c r="AO263" s="409"/>
      <c r="AP263" s="186" t="s">
        <v>4</v>
      </c>
    </row>
    <row r="264" spans="1:81">
      <c r="A264" s="188" t="s">
        <v>296</v>
      </c>
      <c r="B264" s="759" t="str">
        <f>IF($AG$8=1,$E$8,IF($AG$10=1,$E$10,IF($AG$12=1,$E$12,IF($AG$14=1,$E$14,IF($AG$16=1,$E$16,"1st Place "&amp;$A264)))))</f>
        <v>1st Place Court 1</v>
      </c>
      <c r="C264" s="760"/>
      <c r="D264" s="760"/>
      <c r="E264" s="760"/>
      <c r="F264" s="761" t="str">
        <f>IF($AG$8=1,$E$9,IF($AG$10=1,$E$11,IF($AG$12=1,$E$13,IF($AG$14=1,$E$15,IF($AG$16=1,$E$17,"1st Place "&amp;$A264)))))</f>
        <v>1st Place Court 1</v>
      </c>
      <c r="G264" s="761"/>
      <c r="H264" s="761"/>
      <c r="I264" s="761"/>
      <c r="J264" s="762">
        <f>IF($AG$8=1,$AA$8,IF($AG$10=1,$AA$10,IF($AG$12=1,$AA$12,IF($AG$14=1,$AA$14,IF($AG$16=1,$AA$16,0)))))</f>
        <v>0</v>
      </c>
      <c r="K264" s="762"/>
      <c r="L264" s="763">
        <f>IF(AND(J264=0,J265=0,J266=0),0,IF(OR(AND(J264&gt;J265,J264&gt;J266),AND(J264=J265,J264=J266),AND(J264=J265,J264&gt;J266),AND(J264=J266,J264&gt;J265)),1,IF(OR(J264&gt;J265,J264&gt;J266,J264=J265,J264=J266),2,3)))</f>
        <v>2</v>
      </c>
      <c r="M264" s="759" t="str">
        <f>IF($AG$8=2,$E$8,IF($AG$10=2,$E$10,IF($AG$12=2,$E$12,IF($AG$14=2,$E$14,IF($AG$16=2,$E$16,"2nd Place "&amp;$A264)))))</f>
        <v>2nd Place Court 1</v>
      </c>
      <c r="N264" s="760"/>
      <c r="O264" s="760"/>
      <c r="P264" s="760"/>
      <c r="Q264" s="760"/>
      <c r="R264" s="761" t="str">
        <f>IF($AG$8=2,$E$9,IF($AG$10=2,$E$11,IF($AG$12=2,$E$13,IF($AG$14=2,$E$15,IF($AG$16=2,$E$17,"2nd Place "&amp;$A264)))))</f>
        <v>2nd Place Court 1</v>
      </c>
      <c r="S264" s="761"/>
      <c r="T264" s="761"/>
      <c r="U264" s="762">
        <f>IF($AG$8=2,$AA$8,IF($AG$10=2,$AA$10,IF($AG$12=2,$AA$12,IF($AG$14=2,$AA$14,IF($AG$16=2,$AA$16,0)))))</f>
        <v>0</v>
      </c>
      <c r="V264" s="762"/>
      <c r="W264" s="764">
        <f>IF(AND(J264=0,J265=0,J266=0),0,IF(OR(AND(U264&gt;U265,U264&gt;U266),AND(U264=U265,U264=U266),AND(U264=U265,U264&gt;U266),AND(U264=U266,U264&gt;U265)),1,IF(OR(U264&gt;U265,U264&gt;U266,U264=U265,U264=U266),2,3)))</f>
        <v>2</v>
      </c>
      <c r="X264" s="765" t="str">
        <f>IF($AG$8=3,$E$8,IF($AG$10=3,$E$10,IF($AG$12=3,$E$12,IF($AG$14=3,$E$14,IF($AG$16=3,$E$16,"3rd Place "&amp;$A264)))))</f>
        <v>3rd Place Court 1</v>
      </c>
      <c r="Y264" s="766"/>
      <c r="Z264" s="766"/>
      <c r="AA264" s="766"/>
      <c r="AB264" s="766"/>
      <c r="AC264" s="767" t="str">
        <f>IF($AG$8=3,$E$9,IF($AG$10=3,$E$11,IF($AG$12=3,$E$13,IF($AG$14=3,$E$15,IF($AG$16=3,$E$17,"3rd Place "&amp;$A264)))))</f>
        <v>3rd Place Court 1</v>
      </c>
      <c r="AD264" s="767"/>
      <c r="AE264" s="767"/>
      <c r="AF264" s="768">
        <f>IF($AG$8=3,$AA$8,IF($AG$10=3,$AA$10,IF($AG$12=3,$AA$12,IF($AG$14=3,$AA$14,IF($AG$16=3,$AA$16,0)))))</f>
        <v>0</v>
      </c>
      <c r="AG264" s="764">
        <f>IF(AND(J264=0,J265=0,J266=0),0,IF(OR(AND(AF264&gt;AF265,AF264&gt;AF266),AND(AF264=AF265,AF264=AF266),AND(AF264=AF265,AF264&gt;AF266),AND(AF264=AF266,AF264&gt;AF265)),1,IF(OR(AF264&gt;AF265,AF264&gt;AF266,AF264=AF265,AF264=AF266),2,3)))</f>
        <v>1</v>
      </c>
      <c r="AH264" s="759" t="str">
        <f>IF($AG$8=4,$E$8,IF($AG$10=4,$E$10,IF($AG$12=4,$E$12,IF($AG$14=4,$E$14,IF($AG$16=4,$E$16,"4th Place "&amp;$A264)))))</f>
        <v>4th Place Court 1</v>
      </c>
      <c r="AI264" s="760"/>
      <c r="AJ264" s="760"/>
      <c r="AK264" s="761" t="str">
        <f>IF($AG$8=4,$E$9,IF($AG$10=4,$E$11,IF($AG$12=4,$E$13,IF($AG$14=4,$E$15,IF($AG$16=4,$E$17,"4th Place "&amp;$A264)))))</f>
        <v>4th Place Court 1</v>
      </c>
      <c r="AL264" s="761"/>
      <c r="AM264" s="761"/>
      <c r="AN264" s="762">
        <f>IF($AG$8=4,$AA$8,IF($AG$10=4,$AA$10,IF($AG$12=4,$AA$12,IF($AG$14=4,$AA$14,IF($AG$16=4,$AA$16,0)))))</f>
        <v>0</v>
      </c>
      <c r="AO264" s="762"/>
      <c r="AP264" s="764">
        <f>IF(AND(J264=0,J265=0,J266=0),0,IF(OR(AND(AN264&gt;AN265,AN264&gt;AN266),AND(AN264=AN265,AN264=AN266),AND(AN264=AN265,AN264&gt;AN266),AND(AN264=AN266,AN264&gt;AN265)),1,IF(OR(AN264&gt;AN265,AN264&gt;AN266,AN264=AN265,AN264=AN266),2,3)))</f>
        <v>1</v>
      </c>
    </row>
    <row r="265" spans="1:81">
      <c r="A265" s="188" t="s">
        <v>297</v>
      </c>
      <c r="B265" s="769" t="str">
        <f>IF($AG$93=1,$E$93,IF($AG$95=1,$E$95,IF($AG$97=1,$E$97,IF($AG$99=1,$E$99,IF($AG$101=1,$E$101,"1st Place "&amp;$A265)))))</f>
        <v>1st Place Court 2</v>
      </c>
      <c r="C265" s="770"/>
      <c r="D265" s="770"/>
      <c r="E265" s="770"/>
      <c r="F265" s="771" t="str">
        <f>IF($AG$93=1,$E$94,IF($AG$95=1,$E$96,IF($AG$97=1,$E$98,IF($AG$99=1,$E$100,IF($AG$101=1,$E$102,"1st Place "&amp;$A265)))))</f>
        <v>1st Place Court 2</v>
      </c>
      <c r="G265" s="771"/>
      <c r="H265" s="771"/>
      <c r="I265" s="771"/>
      <c r="J265" s="772">
        <f>IF($AG$93=1,$AA$93,IF($AG$95=1,$AA$95,IF($AG$97=1,$AA$97,IF($AG$99=1,$AA$99,IF($AG$101=1,$AA$101,0)))))</f>
        <v>0</v>
      </c>
      <c r="K265" s="772"/>
      <c r="L265" s="773">
        <f>IF(AND(J264=0,J265=0,J266=0),0,IF(OR(AND(J265&gt;J264,J265&gt;J266),AND(J265=J266,J265&gt;J264)),1,IF(OR(J265&gt;J264,J265&gt;J266,AND(J265=J264,J265=J266),J265=J266),2,3)))</f>
        <v>3</v>
      </c>
      <c r="M265" s="769" t="str">
        <f>IF($AG$93=2,$E$93,IF($AG$95=2,$E$95,IF($AG$97=2,$E$97,IF($AG$99=2,$E$99,IF($AG$101=2,$E$101,"2nd Place "&amp;$A265)))))</f>
        <v>2nd Place Court 2</v>
      </c>
      <c r="N265" s="770"/>
      <c r="O265" s="770"/>
      <c r="P265" s="770"/>
      <c r="Q265" s="770"/>
      <c r="R265" s="771" t="str">
        <f>IF($AG$93=2,$E$94,IF($AG$95=2,$E$96,IF($AG$97=2,$E$98,IF($AG$99=2,$E$100,IF($AG$101=2,$E$102,"2nd Place "&amp;$A265)))))</f>
        <v>2nd Place Court 2</v>
      </c>
      <c r="S265" s="771"/>
      <c r="T265" s="771"/>
      <c r="U265" s="772">
        <f>IF($AG$93=2,$AA$93,IF($AG$95=2,$AA$95,IF($AG$97=2,$AA$97,IF($AG$99=2,$AA$99,IF($AG$101=2,$AA$101,0)))))</f>
        <v>0</v>
      </c>
      <c r="V265" s="772"/>
      <c r="W265" s="774">
        <f>IF(AND(J264=0,J265=0,J266=0),0,IF(OR(AND(U265&gt;U264,U265&gt;U266),AND(U265=U266,U265&gt;U264)),1,IF(OR(U265&gt;U264,U265&gt;U266,AND(U265=U264,U265=U266),U265=U266),2,3)))</f>
        <v>3</v>
      </c>
      <c r="X265" s="769" t="str">
        <f>IF($AG$93=3,$E$93,IF($AG$95=3,$E$95,IF($AG$97=3,$E$97,IF($AG$99=3,$E$99,IF($AG$101=3,$E$101,"3rd Place "&amp;$A265)))))</f>
        <v>3rd Place Court 2</v>
      </c>
      <c r="Y265" s="770"/>
      <c r="Z265" s="770"/>
      <c r="AA265" s="770"/>
      <c r="AB265" s="770"/>
      <c r="AC265" s="771" t="str">
        <f>IF($AG$93=3,$E$94,IF($AG$95=3,$E$96,IF($AG$97=3,$E$98,IF($AG$99=3,$E$100,IF($AG$101=3,$E$102,"3rd Place "&amp;$A265)))))</f>
        <v>3rd Place Court 2</v>
      </c>
      <c r="AD265" s="771"/>
      <c r="AE265" s="771"/>
      <c r="AF265" s="775">
        <f>IF($AG$93=3,$AA$93,IF($AG$95=3,$AA$95,IF($AG$97=3,$AA$97,IF($AG$99=3,$AA$99,IF($AG$101=3,$AA$101,0)))))</f>
        <v>0</v>
      </c>
      <c r="AG265" s="774">
        <f>IF(AND(J264=0,J265=0,J266=0),0,IF(OR(AND(AF265&gt;AF264,AF265&gt;AF266),AND(AF265=AF266,AF265&gt;AF264)),1,IF(OR(AF265&gt;AF264,AF265&gt;AF266,AND(AF265=AF264,AF265=AF266),AF265=AF266),2,3)))</f>
        <v>2</v>
      </c>
      <c r="AH265" s="769" t="str">
        <f>IF($AG$93=4,$E$93,IF($AG$95=4,$E$95,IF($AG$97=4,$E$97,IF($AG$99=4,$E$99,IF($AG$101=4,$E$101,"4th Place "&amp;$A265)))))</f>
        <v>4th Place Court 2</v>
      </c>
      <c r="AI265" s="770"/>
      <c r="AJ265" s="770"/>
      <c r="AK265" s="771" t="str">
        <f>IF($AG$93=4,$E$94,IF($AG$95=4,$E$96,IF($AG$97=4,$E$98,IF($AG$99=4,$E$100,IF($AG$101=4,$E$102,"4th Place "&amp;$A265)))))</f>
        <v>4th Place Court 2</v>
      </c>
      <c r="AL265" s="771"/>
      <c r="AM265" s="771"/>
      <c r="AN265" s="772">
        <f>IF($AG$93=4,$AA$93,IF($AG$95=4,$AA$95,IF($AG$97=4,$AA$97,IF($AG$99=4,$AA$99,IF($AG$101=4,$AA$101,0)))))</f>
        <v>0</v>
      </c>
      <c r="AO265" s="772"/>
      <c r="AP265" s="774">
        <f>IF(AND(J264=0,J265=0,J266=0),0,IF(OR(AND(AN265&gt;AN264,AN265&gt;AN266),AND(AN265=AN266,AN265&gt;AN264)),1,IF(OR(AN265&gt;AN264,AN265&gt;AN266,AND(AN265=AN264,AN265=AN266),AN265=AN266),2,3)))</f>
        <v>2</v>
      </c>
    </row>
    <row r="266" spans="1:81" ht="13.5" thickBot="1">
      <c r="A266" s="199" t="s">
        <v>298</v>
      </c>
      <c r="B266" s="776" t="str">
        <f>IF($AG$178=1,$E$178,IF($AG$180=1,$E$180,IF($AG$182=1,$E$182,IF($AG$184=1,$E$184,IF($AG$186=1,$E$186,"1st Place "&amp;$A266)))))</f>
        <v>SC Midlands KP Silver</v>
      </c>
      <c r="C266" s="777"/>
      <c r="D266" s="777"/>
      <c r="E266" s="777"/>
      <c r="F266" s="778" t="str">
        <f>IF($AG$178=1,$E$179,IF($AG$180=1,$E$181,IF($AG$182=1,$E$183,IF($AG$184=1,$E$185,IF($AG$186=1,$E$187,"1st Place "&amp;$A266)))))</f>
        <v>fj1scmid4pm</v>
      </c>
      <c r="G266" s="778"/>
      <c r="H266" s="778"/>
      <c r="I266" s="778"/>
      <c r="J266" s="779">
        <f>IF($AG$178=1,$AA$178,IF($AG$180=1,$AA$180,IF($AG$182=1,$AA$182,IF($AG$184=1,$AA$184,IF($AG$186=1,$AA$186,0)))))</f>
        <v>0.15606936416184972</v>
      </c>
      <c r="K266" s="779"/>
      <c r="L266" s="780">
        <f>IF(AND(J264=0,J265=0,J266=0),0,IF(AND(J266&gt;J264,J266&gt;J265),1,IF(OR(J266&gt;J264,J266&gt;J265),2,3)))</f>
        <v>1</v>
      </c>
      <c r="M266" s="776" t="str">
        <f>IF($AG$178=2,$E$178,IF($AG$180=2,$E$180,IF($AG$182=2,$E$182,IF($AG$184=2,$E$184,IF($AG$186=2,$E$186,"2nd Place "&amp;$A266)))))</f>
        <v>SC Midlands KP Black</v>
      </c>
      <c r="N266" s="777"/>
      <c r="O266" s="777"/>
      <c r="P266" s="777"/>
      <c r="Q266" s="777"/>
      <c r="R266" s="778" t="str">
        <f>IF($AG$178=2,$E$179,IF($AG$180=2,$E$181,IF($AG$182=2,$E$183,IF($AG$184=2,$E$185,IF($AG$186=2,$E$187,"2nd Place "&amp;$A266)))))</f>
        <v>fj1scmid1pm</v>
      </c>
      <c r="S266" s="778"/>
      <c r="T266" s="778"/>
      <c r="U266" s="779">
        <f>IF($AG$178=2,$AA$178,IF($AG$180=2,$AA$180,IF($AG$182=2,$AA$182,IF($AG$184=2,$AA$184,IF($AG$186=2,$AA$186,0)))))</f>
        <v>0.19886363636363635</v>
      </c>
      <c r="V266" s="779"/>
      <c r="W266" s="781">
        <f>IF(AND(J264=0,J265=0,J266=0),0,IF(AND(U266&gt;U264,U266&gt;U265),1,IF(OR(U266&gt;U264,U266&gt;U265),2,3)))</f>
        <v>1</v>
      </c>
      <c r="X266" s="776" t="str">
        <f>IF($AG$178=3,$E$178,IF($AG$180=3,$E$180,IF($AG$182=3,$E$182,IF($AG$184=3,$E$184,IF($AG$186=3,$E$186,"3rd Place "&amp;$A266)))))</f>
        <v>Foothills Skylar</v>
      </c>
      <c r="Y266" s="777"/>
      <c r="Z266" s="777"/>
      <c r="AA266" s="777"/>
      <c r="AB266" s="777"/>
      <c r="AC266" s="778" t="str">
        <f>IF($AG$178=3,$E$179,IF($AG$180=3,$E$181,IF($AG$182=3,$E$183,IF($AG$184=3,$E$185,IF($AG$186=3,$E$187,"3rd Place "&amp;$A266)))))</f>
        <v>fj2footh3pm</v>
      </c>
      <c r="AD266" s="778"/>
      <c r="AE266" s="778"/>
      <c r="AF266" s="782">
        <f>IF($AG$178=3,$AA$178,IF($AG$180=3,$AA$180,IF($AG$182=3,$AA$182,IF($AG$184=3,$AA$184,IF($AG$186=3,$AA$186,0)))))</f>
        <v>-0.32804232804232802</v>
      </c>
      <c r="AG266" s="781">
        <f>IF(AND(J264=0,J265=0,J266=0),0,IF(AND(AF266&gt;AF264,AF266&gt;AF265),1,IF(OR(AF266&gt;AF264,AF266&gt;AF265),2,3)))</f>
        <v>3</v>
      </c>
      <c r="AH266" s="783"/>
      <c r="AI266" s="784"/>
      <c r="AJ266" s="784"/>
      <c r="AK266" s="784"/>
      <c r="AL266" s="784"/>
      <c r="AM266" s="784"/>
      <c r="AN266" s="785"/>
      <c r="AO266" s="785"/>
      <c r="AP266" s="786"/>
    </row>
    <row r="267" spans="1:81" ht="13.5" thickBot="1">
      <c r="A267" s="787" t="s">
        <v>310</v>
      </c>
      <c r="B267" s="788" t="s">
        <v>1253</v>
      </c>
      <c r="C267" s="789"/>
      <c r="D267" s="789"/>
      <c r="E267" s="789"/>
      <c r="F267" s="789"/>
      <c r="G267" s="789"/>
      <c r="H267" s="789"/>
      <c r="I267" s="789"/>
      <c r="J267" s="789"/>
      <c r="K267" s="789"/>
      <c r="L267" s="790"/>
      <c r="M267" s="402" t="s">
        <v>1254</v>
      </c>
      <c r="N267" s="403"/>
      <c r="O267" s="403"/>
      <c r="P267" s="403"/>
      <c r="Q267" s="403"/>
      <c r="R267" s="403"/>
      <c r="S267" s="403"/>
      <c r="T267" s="403"/>
      <c r="U267" s="403"/>
      <c r="V267" s="403"/>
      <c r="W267" s="404"/>
      <c r="X267" s="402" t="s">
        <v>1255</v>
      </c>
      <c r="Y267" s="403"/>
      <c r="Z267" s="403"/>
      <c r="AA267" s="403"/>
      <c r="AB267" s="403"/>
      <c r="AC267" s="403"/>
      <c r="AD267" s="403"/>
      <c r="AE267" s="403"/>
      <c r="AF267" s="403"/>
      <c r="AG267" s="404"/>
      <c r="AH267" s="402" t="s">
        <v>1256</v>
      </c>
      <c r="AI267" s="403"/>
      <c r="AJ267" s="403"/>
      <c r="AK267" s="403"/>
      <c r="AL267" s="403"/>
      <c r="AM267" s="403"/>
      <c r="AN267" s="403"/>
      <c r="AO267" s="403"/>
      <c r="AP267" s="404"/>
    </row>
    <row r="268" spans="1:81" ht="13.5" thickBot="1">
      <c r="A268" s="791"/>
      <c r="B268" s="792" t="s">
        <v>5</v>
      </c>
      <c r="C268" s="793"/>
      <c r="D268" s="793"/>
      <c r="E268" s="793"/>
      <c r="F268" s="793"/>
      <c r="G268" s="793"/>
      <c r="H268" s="794"/>
      <c r="I268" s="792" t="s">
        <v>6</v>
      </c>
      <c r="J268" s="793"/>
      <c r="K268" s="793"/>
      <c r="L268" s="794"/>
      <c r="M268" s="590" t="s">
        <v>5</v>
      </c>
      <c r="N268" s="591"/>
      <c r="O268" s="591"/>
      <c r="P268" s="591"/>
      <c r="Q268" s="591"/>
      <c r="R268" s="591"/>
      <c r="S268" s="592"/>
      <c r="T268" s="590" t="s">
        <v>6</v>
      </c>
      <c r="U268" s="591"/>
      <c r="V268" s="591"/>
      <c r="W268" s="592"/>
      <c r="X268" s="590" t="s">
        <v>5</v>
      </c>
      <c r="Y268" s="591"/>
      <c r="Z268" s="591"/>
      <c r="AA268" s="591"/>
      <c r="AB268" s="591"/>
      <c r="AC268" s="591"/>
      <c r="AD268" s="591"/>
      <c r="AE268" s="592"/>
      <c r="AF268" s="590" t="s">
        <v>6</v>
      </c>
      <c r="AG268" s="592"/>
      <c r="AH268" s="591" t="s">
        <v>5</v>
      </c>
      <c r="AI268" s="591"/>
      <c r="AJ268" s="591"/>
      <c r="AK268" s="591"/>
      <c r="AL268" s="591"/>
      <c r="AM268" s="592"/>
      <c r="AN268" s="590" t="s">
        <v>6</v>
      </c>
      <c r="AO268" s="591"/>
      <c r="AP268" s="592"/>
    </row>
    <row r="269" spans="1:81">
      <c r="A269" s="795" t="s">
        <v>1257</v>
      </c>
      <c r="B269" s="796" t="str">
        <f>IF(L264=1,B264,IF(L265=1,B265,IF(L266=1,B266,"#1 1st Place")))</f>
        <v>SC Midlands KP Silver</v>
      </c>
      <c r="C269" s="797"/>
      <c r="D269" s="797"/>
      <c r="E269" s="797"/>
      <c r="F269" s="797"/>
      <c r="G269" s="797"/>
      <c r="H269" s="797"/>
      <c r="I269" s="798" t="str">
        <f>IF(L264=1,F264,IF(L265=1,F265,IF(L266=1,F266,"#1 1st Place")))</f>
        <v>fj1scmid4pm</v>
      </c>
      <c r="J269" s="798"/>
      <c r="K269" s="798"/>
      <c r="L269" s="799"/>
      <c r="M269" s="800" t="str">
        <f>IF(W264=1,M264,IF(W265=1,M265,IF(W266=1,M266,"#1 2nd Place")))</f>
        <v>SC Midlands KP Black</v>
      </c>
      <c r="N269" s="801"/>
      <c r="O269" s="801"/>
      <c r="P269" s="801"/>
      <c r="Q269" s="801"/>
      <c r="R269" s="801"/>
      <c r="S269" s="801"/>
      <c r="T269" s="802" t="str">
        <f>IF(W264=1,R264,IF(W265=1,R265,IF(W266=1,R266,"#1 2nd Place")))</f>
        <v>fj1scmid1pm</v>
      </c>
      <c r="U269" s="802"/>
      <c r="V269" s="802"/>
      <c r="W269" s="803"/>
      <c r="X269" s="800" t="str">
        <f>IF(AG264=1,X264,IF(AG265=1,X265,IF(AG266=1,X266,"#1 3rd Place")))</f>
        <v>3rd Place Court 1</v>
      </c>
      <c r="Y269" s="801"/>
      <c r="Z269" s="801"/>
      <c r="AA269" s="801"/>
      <c r="AB269" s="801"/>
      <c r="AC269" s="801"/>
      <c r="AD269" s="801"/>
      <c r="AE269" s="801"/>
      <c r="AF269" s="802" t="str">
        <f>IF(AG264=1,AC264,IF(AG265=1,AC265,IF(AG266=1,AC266,"#1 3rd Place")))</f>
        <v>3rd Place Court 1</v>
      </c>
      <c r="AG269" s="803"/>
      <c r="AH269" s="804" t="str">
        <f>IF(AP264=1,AH264,IF(AP265=1,AH265,IF(AP266=1,AH266,"#1 4th Place")))</f>
        <v>4th Place Court 1</v>
      </c>
      <c r="AI269" s="801"/>
      <c r="AJ269" s="801"/>
      <c r="AK269" s="801"/>
      <c r="AL269" s="801"/>
      <c r="AM269" s="801"/>
      <c r="AN269" s="802" t="str">
        <f>IF(AP264=1,AK264,IF(AP265=1,AK265,IF(AP266=1,AK266,"#1 4th Place")))</f>
        <v>4th Place Court 1</v>
      </c>
      <c r="AO269" s="802"/>
      <c r="AP269" s="803"/>
    </row>
    <row r="270" spans="1:81">
      <c r="A270" s="795" t="s">
        <v>1258</v>
      </c>
      <c r="B270" s="805" t="str">
        <f>IF(L264=2,B264,IF(L265=2,B265,IF(L266=2,B266,"#2 1st Place")))</f>
        <v>1st Place Court 1</v>
      </c>
      <c r="C270" s="806"/>
      <c r="D270" s="806"/>
      <c r="E270" s="806"/>
      <c r="F270" s="806"/>
      <c r="G270" s="806"/>
      <c r="H270" s="806"/>
      <c r="I270" s="807" t="str">
        <f>IF(L264=2,F264,IF(L265=2,F265,IF(L266=2,F266,"#2 1st Place")))</f>
        <v>1st Place Court 1</v>
      </c>
      <c r="J270" s="807"/>
      <c r="K270" s="807"/>
      <c r="L270" s="808"/>
      <c r="M270" s="809" t="str">
        <f>IF(W264=2,M264,IF(W265=2,M265,IF(W266=2,M266,"#2 2nd Place")))</f>
        <v>2nd Place Court 1</v>
      </c>
      <c r="N270" s="810"/>
      <c r="O270" s="810"/>
      <c r="P270" s="810"/>
      <c r="Q270" s="810"/>
      <c r="R270" s="810"/>
      <c r="S270" s="810"/>
      <c r="T270" s="811" t="str">
        <f>IF(W264=2,R264,IF(W265=2,R265,IF(W266=2,R266,"#2 2nd Place")))</f>
        <v>2nd Place Court 1</v>
      </c>
      <c r="U270" s="811"/>
      <c r="V270" s="811"/>
      <c r="W270" s="812"/>
      <c r="X270" s="809" t="str">
        <f>IF(AG264=2,X264,IF(AG265=2,X265,IF(AG266=2,X266,"#2 3rd Place")))</f>
        <v>3rd Place Court 2</v>
      </c>
      <c r="Y270" s="810"/>
      <c r="Z270" s="810"/>
      <c r="AA270" s="810"/>
      <c r="AB270" s="810"/>
      <c r="AC270" s="810"/>
      <c r="AD270" s="810"/>
      <c r="AE270" s="810"/>
      <c r="AF270" s="811" t="str">
        <f>IF(AG264=2,AC264,IF(AG265=2,AC265,IF(AG266=2,AC266,"#2 3rd Place")))</f>
        <v>3rd Place Court 2</v>
      </c>
      <c r="AG270" s="812"/>
      <c r="AH270" s="813" t="str">
        <f>IF(AP264=2,AH264,IF(AP265=2,AH265,IF(AP266=2,AH266,"#2 4th Place")))</f>
        <v>4th Place Court 2</v>
      </c>
      <c r="AI270" s="810"/>
      <c r="AJ270" s="810"/>
      <c r="AK270" s="810"/>
      <c r="AL270" s="810"/>
      <c r="AM270" s="810"/>
      <c r="AN270" s="811" t="str">
        <f>IF(AP264=2,AK264,IF(AP265=2,AK265,IF(AP266=2,AK266,"#2 4th Place")))</f>
        <v>4th Place Court 2</v>
      </c>
      <c r="AO270" s="811"/>
      <c r="AP270" s="812"/>
    </row>
    <row r="271" spans="1:81" s="46" customFormat="1" ht="13.5" thickBot="1">
      <c r="A271" s="814" t="s">
        <v>1259</v>
      </c>
      <c r="B271" s="593" t="str">
        <f>IF(L264=3,B264,IF(L265=3,B265,IF(L266=3,B266,"#3 1st Place")))</f>
        <v>1st Place Court 2</v>
      </c>
      <c r="C271" s="594"/>
      <c r="D271" s="594"/>
      <c r="E271" s="594"/>
      <c r="F271" s="594"/>
      <c r="G271" s="594"/>
      <c r="H271" s="594"/>
      <c r="I271" s="595" t="str">
        <f>IF(L264=3,F264,IF(L265=3,F265,IF(L266=3,F266,"#3 1st Place")))</f>
        <v>1st Place Court 2</v>
      </c>
      <c r="J271" s="595"/>
      <c r="K271" s="595"/>
      <c r="L271" s="596"/>
      <c r="M271" s="593" t="str">
        <f>IF(W264=3,M264,IF(W265=3,M265,IF(W266=3,M266,"#3 2nd Place")))</f>
        <v>2nd Place Court 2</v>
      </c>
      <c r="N271" s="594"/>
      <c r="O271" s="594"/>
      <c r="P271" s="594"/>
      <c r="Q271" s="594"/>
      <c r="R271" s="594"/>
      <c r="S271" s="594"/>
      <c r="T271" s="595" t="str">
        <f>IF(W264=3,R264,IF(W265=3,R265,IF(W266=3,R266,"#3 2nd Place")))</f>
        <v>2nd Place Court 2</v>
      </c>
      <c r="U271" s="595"/>
      <c r="V271" s="595"/>
      <c r="W271" s="596"/>
      <c r="X271" s="593" t="str">
        <f>IF(AG264=3,X264,IF(AG265=3,X265,IF(AG266=3,X266,"#3 3rd Place")))</f>
        <v>Foothills Skylar</v>
      </c>
      <c r="Y271" s="594"/>
      <c r="Z271" s="594"/>
      <c r="AA271" s="594"/>
      <c r="AB271" s="594"/>
      <c r="AC271" s="594"/>
      <c r="AD271" s="594"/>
      <c r="AE271" s="594"/>
      <c r="AF271" s="595" t="str">
        <f>IF(AG264=3,AC264,IF(AG265=3,AC265,IF(AG266=3,AC266,"#3 3rd Place")))</f>
        <v>fj2footh3pm</v>
      </c>
      <c r="AG271" s="596"/>
      <c r="AH271" s="815"/>
      <c r="AI271" s="816"/>
      <c r="AJ271" s="816"/>
      <c r="AK271" s="816"/>
      <c r="AL271" s="816"/>
      <c r="AM271" s="816"/>
      <c r="AN271" s="816"/>
      <c r="AO271" s="816"/>
      <c r="AP271" s="817"/>
      <c r="AW271" s="39"/>
      <c r="AX271" s="3"/>
      <c r="AY271" s="3"/>
      <c r="AZ271" s="3"/>
      <c r="BA271" s="3"/>
    </row>
    <row r="272" spans="1:81" s="46" customFormat="1">
      <c r="A272" s="105"/>
      <c r="B272" s="205"/>
      <c r="C272" s="205"/>
      <c r="D272" s="205"/>
      <c r="E272" s="205"/>
      <c r="F272" s="205"/>
      <c r="G272" s="205"/>
      <c r="H272" s="205"/>
      <c r="I272" s="205"/>
      <c r="J272" s="205"/>
      <c r="K272" s="205"/>
      <c r="L272" s="205"/>
      <c r="M272" s="206"/>
      <c r="N272" s="206"/>
      <c r="O272" s="206"/>
      <c r="P272" s="206"/>
      <c r="Q272" s="206"/>
      <c r="R272" s="206"/>
      <c r="S272" s="206"/>
      <c r="T272" s="206"/>
      <c r="U272" s="206"/>
      <c r="V272" s="206"/>
      <c r="W272" s="206"/>
      <c r="AW272" s="39"/>
      <c r="AX272" s="3"/>
      <c r="AY272" s="3"/>
      <c r="AZ272" s="3"/>
      <c r="BA272" s="3"/>
    </row>
    <row r="273" spans="1:56" ht="15.75">
      <c r="A273" s="597" t="s">
        <v>1215</v>
      </c>
      <c r="B273" s="597"/>
      <c r="C273" s="597"/>
      <c r="D273" s="597"/>
      <c r="E273" s="597"/>
      <c r="F273" s="597"/>
      <c r="G273" s="597"/>
      <c r="H273" s="597"/>
      <c r="I273" s="597"/>
      <c r="J273" s="597"/>
      <c r="K273" s="597"/>
      <c r="L273" s="597"/>
      <c r="M273" s="597"/>
      <c r="N273" s="597"/>
      <c r="O273" s="597"/>
      <c r="P273" s="597"/>
      <c r="Q273" s="597"/>
      <c r="R273" s="597"/>
      <c r="S273" s="597"/>
      <c r="T273" s="597"/>
      <c r="U273" s="597"/>
      <c r="V273" s="597"/>
      <c r="W273" s="597"/>
      <c r="X273" s="597"/>
      <c r="Y273" s="597"/>
      <c r="Z273" s="597"/>
      <c r="AA273" s="597"/>
      <c r="AB273" s="597"/>
      <c r="AC273" s="597"/>
      <c r="AD273" s="597"/>
      <c r="AE273" s="597"/>
      <c r="AF273" s="597"/>
      <c r="AG273" s="597"/>
      <c r="AH273" s="597"/>
      <c r="AI273" s="597"/>
      <c r="AJ273" s="597"/>
      <c r="AK273" s="597"/>
      <c r="AL273" s="597"/>
      <c r="AM273" s="597"/>
      <c r="AN273" s="597"/>
      <c r="AO273" s="597"/>
      <c r="AP273" s="597"/>
      <c r="AQ273" s="597"/>
      <c r="AS273" s="598"/>
      <c r="AT273" s="598"/>
      <c r="AU273" s="598"/>
    </row>
    <row r="274" spans="1:56" ht="36" customHeight="1">
      <c r="A274" s="599" t="s">
        <v>1216</v>
      </c>
      <c r="B274" s="600"/>
      <c r="C274" s="600"/>
      <c r="D274" s="600"/>
      <c r="E274" s="600"/>
      <c r="F274" s="600"/>
      <c r="G274" s="600"/>
      <c r="H274" s="600"/>
      <c r="I274" s="600"/>
      <c r="J274" s="600"/>
      <c r="K274" s="600"/>
      <c r="L274" s="600"/>
      <c r="M274" s="600"/>
      <c r="N274" s="600"/>
      <c r="O274" s="600"/>
      <c r="P274" s="600"/>
      <c r="Q274" s="600"/>
      <c r="R274" s="600"/>
      <c r="S274" s="600"/>
      <c r="T274" s="600"/>
      <c r="U274" s="600"/>
      <c r="V274" s="600"/>
      <c r="W274" s="600"/>
      <c r="X274" s="600"/>
      <c r="Y274" s="600"/>
      <c r="Z274" s="600"/>
      <c r="AA274" s="600"/>
      <c r="AB274" s="600"/>
      <c r="AC274" s="600"/>
      <c r="AD274" s="600"/>
      <c r="AE274" s="600"/>
      <c r="AF274" s="600"/>
      <c r="AG274" s="600"/>
      <c r="AH274" s="600"/>
      <c r="AI274" s="600"/>
      <c r="AJ274" s="600"/>
      <c r="AK274" s="600"/>
      <c r="AL274" s="600"/>
      <c r="AM274" s="600"/>
      <c r="AN274" s="600"/>
      <c r="AO274" s="600"/>
      <c r="AP274" s="600"/>
      <c r="AQ274" s="600"/>
      <c r="AR274" s="600"/>
    </row>
    <row r="275" spans="1:56">
      <c r="A275" s="601" t="s">
        <v>1260</v>
      </c>
      <c r="B275" s="601"/>
      <c r="C275" s="601"/>
      <c r="D275" s="601"/>
      <c r="E275" s="601"/>
      <c r="F275" s="601"/>
      <c r="G275" s="601"/>
      <c r="H275" s="601"/>
      <c r="I275" s="601"/>
      <c r="J275" s="601"/>
      <c r="K275" s="601"/>
      <c r="L275" s="601"/>
      <c r="M275" s="601"/>
      <c r="N275" s="601"/>
      <c r="O275" s="601"/>
      <c r="P275" s="601"/>
      <c r="Q275" s="601"/>
      <c r="R275" s="601"/>
      <c r="S275" s="601"/>
      <c r="T275" s="601"/>
      <c r="U275" s="601"/>
      <c r="V275" s="601"/>
      <c r="W275" s="601"/>
      <c r="X275" s="601"/>
      <c r="Y275" s="601"/>
      <c r="Z275" s="601"/>
      <c r="AA275" s="601"/>
      <c r="AB275" s="601"/>
      <c r="AC275" s="601"/>
      <c r="AD275" s="601"/>
      <c r="AE275" s="601"/>
      <c r="AF275" s="601"/>
      <c r="AG275" s="601"/>
      <c r="AH275" s="601"/>
      <c r="AI275" s="601"/>
      <c r="AJ275" s="601"/>
      <c r="AK275" s="601"/>
      <c r="AL275" s="601"/>
      <c r="AM275" s="601"/>
      <c r="AN275" s="601"/>
      <c r="AO275" s="601"/>
      <c r="AP275" s="601"/>
      <c r="AQ275" s="601"/>
      <c r="AR275" s="601"/>
    </row>
    <row r="276" spans="1:56">
      <c r="A276" s="601"/>
      <c r="B276" s="601"/>
      <c r="C276" s="601"/>
      <c r="D276" s="601"/>
      <c r="E276" s="601"/>
      <c r="F276" s="601"/>
      <c r="G276" s="601"/>
      <c r="H276" s="601"/>
      <c r="I276" s="601"/>
      <c r="J276" s="601"/>
      <c r="K276" s="601"/>
      <c r="L276" s="601"/>
      <c r="M276" s="601"/>
      <c r="N276" s="601"/>
      <c r="O276" s="601"/>
      <c r="P276" s="601"/>
      <c r="Q276" s="601"/>
      <c r="R276" s="601"/>
      <c r="S276" s="601"/>
      <c r="T276" s="601"/>
      <c r="U276" s="601"/>
      <c r="V276" s="601"/>
      <c r="W276" s="601"/>
      <c r="X276" s="601"/>
      <c r="Y276" s="601"/>
      <c r="Z276" s="601"/>
      <c r="AA276" s="601"/>
      <c r="AB276" s="601"/>
      <c r="AC276" s="601"/>
      <c r="AD276" s="601"/>
      <c r="AE276" s="601"/>
      <c r="AF276" s="601"/>
      <c r="AG276" s="601"/>
      <c r="AH276" s="601"/>
      <c r="AI276" s="601"/>
      <c r="AJ276" s="601"/>
      <c r="AK276" s="601"/>
      <c r="AL276" s="601"/>
      <c r="AM276" s="601"/>
      <c r="AN276" s="601"/>
      <c r="AO276" s="601"/>
      <c r="AP276" s="601"/>
      <c r="AQ276" s="601"/>
      <c r="AR276" s="601"/>
    </row>
    <row r="277" spans="1:56">
      <c r="A277" s="602" t="s">
        <v>1217</v>
      </c>
      <c r="B277" s="602"/>
      <c r="C277" s="602"/>
      <c r="D277" s="602"/>
      <c r="E277" s="602"/>
      <c r="F277" s="602"/>
      <c r="G277" s="602"/>
      <c r="H277" s="602"/>
      <c r="I277" s="602"/>
      <c r="J277" s="602"/>
      <c r="K277" s="602"/>
      <c r="L277" s="602"/>
      <c r="M277" s="603"/>
    </row>
    <row r="278" spans="1:56">
      <c r="C278" s="46"/>
      <c r="D278" s="46"/>
      <c r="E278" s="46"/>
      <c r="M278" s="603"/>
    </row>
    <row r="279" spans="1:56">
      <c r="A279" s="394" t="s">
        <v>1218</v>
      </c>
      <c r="B279" s="394"/>
      <c r="C279" s="394"/>
      <c r="D279" s="394"/>
      <c r="E279" s="394"/>
      <c r="F279" s="394"/>
      <c r="G279" s="394"/>
      <c r="H279" s="394"/>
      <c r="I279" s="394"/>
      <c r="J279" s="394"/>
      <c r="K279" s="394"/>
      <c r="L279" s="394"/>
      <c r="M279" s="394"/>
      <c r="N279" s="394"/>
      <c r="O279" s="394"/>
      <c r="P279" s="394"/>
      <c r="Q279" s="39"/>
      <c r="S279" s="394" t="s">
        <v>1219</v>
      </c>
      <c r="T279" s="394"/>
      <c r="U279" s="394"/>
      <c r="V279" s="394"/>
      <c r="W279" s="394"/>
      <c r="X279" s="394"/>
      <c r="Y279" s="394"/>
      <c r="Z279" s="394"/>
      <c r="AA279" s="394"/>
      <c r="AB279" s="394"/>
      <c r="AC279" s="394"/>
      <c r="AD279" s="394"/>
      <c r="AE279" s="394"/>
      <c r="AF279" s="394"/>
      <c r="AG279" s="394"/>
    </row>
    <row r="281" spans="1:56" ht="13.5" thickBot="1">
      <c r="A281" s="604" t="str">
        <f>IF(B309=1,B301,IF(B309=2,B302,IF(B309=3,B303,IF(B309=4,B304,IF(OR(B309="B",B309="b"),"BYE","invalid")))))</f>
        <v>1st Place Court 1</v>
      </c>
      <c r="B281" s="604"/>
      <c r="C281" s="604"/>
      <c r="D281" s="604"/>
      <c r="E281" s="604"/>
      <c r="F281" s="31"/>
      <c r="G281" s="31"/>
      <c r="H281" s="31"/>
      <c r="I281" s="31"/>
      <c r="J281" s="31"/>
      <c r="K281" s="31"/>
      <c r="L281" s="31"/>
      <c r="M281" s="31"/>
      <c r="N281" s="31"/>
      <c r="O281" s="31"/>
      <c r="P281" s="31"/>
      <c r="U281" s="605"/>
      <c r="V281" s="605"/>
      <c r="W281" s="604" t="str">
        <f>IF(X309=1,Y301,IF(X309=2,Y302,IF(X309=3,Y303,IF(X309=4,Y304,IF(OR(X309="B",X309="b"),"BYE","invalid")))))</f>
        <v>2nd Place Court 1</v>
      </c>
      <c r="X281" s="604"/>
      <c r="Y281" s="604"/>
      <c r="Z281" s="604"/>
      <c r="AA281" s="604"/>
      <c r="AB281" s="604"/>
      <c r="AC281" s="604"/>
      <c r="AD281" s="31"/>
      <c r="AE281" s="31"/>
      <c r="AF281" s="31"/>
      <c r="AG281" s="31"/>
    </row>
    <row r="282" spans="1:56">
      <c r="A282" s="606" t="s">
        <v>1220</v>
      </c>
      <c r="B282" s="606"/>
      <c r="C282" s="606"/>
      <c r="D282" s="606"/>
      <c r="E282" s="606"/>
      <c r="F282" s="607"/>
      <c r="G282" s="31"/>
      <c r="H282" s="31"/>
      <c r="I282" s="31"/>
      <c r="J282" s="31"/>
      <c r="K282" s="31"/>
      <c r="L282" s="31"/>
      <c r="M282" s="31"/>
      <c r="N282" s="31"/>
      <c r="O282" s="31"/>
      <c r="P282" s="31"/>
      <c r="U282" s="608"/>
      <c r="V282" s="608"/>
      <c r="W282" s="610" t="s">
        <v>1261</v>
      </c>
      <c r="X282" s="610"/>
      <c r="Y282" s="610"/>
      <c r="Z282" s="610"/>
      <c r="AA282" s="610"/>
      <c r="AB282" s="610"/>
      <c r="AC282" s="611"/>
      <c r="AD282" s="31"/>
      <c r="AE282" s="31"/>
      <c r="AF282" s="31"/>
      <c r="AG282" s="31"/>
    </row>
    <row r="283" spans="1:56">
      <c r="A283" s="31"/>
      <c r="B283" s="31"/>
      <c r="C283" s="31"/>
      <c r="D283" s="31"/>
      <c r="E283" s="31"/>
      <c r="F283" s="607"/>
      <c r="G283" s="31"/>
      <c r="H283" s="31"/>
      <c r="I283" s="31"/>
      <c r="J283" s="31"/>
      <c r="K283" s="31"/>
      <c r="L283" s="31"/>
      <c r="M283" s="31"/>
      <c r="N283" s="31"/>
      <c r="O283" s="31"/>
      <c r="P283" s="31"/>
      <c r="T283" s="31"/>
      <c r="U283" s="31"/>
      <c r="V283" s="31"/>
      <c r="W283" s="31"/>
      <c r="X283" s="31"/>
      <c r="Y283" s="31"/>
      <c r="Z283" s="31"/>
      <c r="AA283" s="31"/>
      <c r="AB283" s="31"/>
      <c r="AC283" s="609"/>
      <c r="AD283" s="31"/>
      <c r="AE283" s="31"/>
      <c r="AF283" s="31"/>
      <c r="AG283" s="31"/>
    </row>
    <row r="284" spans="1:56" ht="13.5" thickBot="1">
      <c r="A284" s="610" t="str">
        <f>B303&amp;" ref"</f>
        <v>SC Midlands KP Silver ref</v>
      </c>
      <c r="B284" s="610"/>
      <c r="C284" s="610"/>
      <c r="D284" s="610"/>
      <c r="E284" s="611"/>
      <c r="F284" s="612" t="str">
        <f>IF(H309=1,B301,IF(H309=2,B302,IF(H309=3,B303,IF(H309=4,B304,"Winner Match 1"))))</f>
        <v>Winner Match 1</v>
      </c>
      <c r="G284" s="613"/>
      <c r="H284" s="613"/>
      <c r="I284" s="613"/>
      <c r="J284" s="613"/>
      <c r="K284" s="613"/>
      <c r="L284" s="613"/>
      <c r="M284" s="613"/>
      <c r="N284" s="613"/>
      <c r="O284" s="613"/>
      <c r="P284" s="31"/>
      <c r="R284" s="614"/>
      <c r="S284" s="614"/>
      <c r="T284" s="614"/>
      <c r="U284" s="614"/>
      <c r="V284" s="610" t="str">
        <f>Y303&amp;" ref"</f>
        <v>3rd Place Court 1 ref</v>
      </c>
      <c r="W284" s="610"/>
      <c r="X284" s="610"/>
      <c r="Y284" s="610"/>
      <c r="Z284" s="610"/>
      <c r="AA284" s="610"/>
      <c r="AB284" s="610"/>
      <c r="AC284" s="611"/>
      <c r="AD284" s="612" t="str">
        <f>IF(AD309=1,Y301,IF(AD309=2,Y302,IF(AD309=3,Y303,IF(AD309=4,Y304,"Winner Match 1"))))</f>
        <v>Winner Match 1</v>
      </c>
      <c r="AE284" s="613"/>
      <c r="AF284" s="613"/>
      <c r="AG284" s="613"/>
      <c r="AH284" s="613"/>
      <c r="AI284" s="613"/>
      <c r="AJ284" s="613"/>
    </row>
    <row r="285" spans="1:56">
      <c r="A285" s="616" t="s">
        <v>1221</v>
      </c>
      <c r="B285" s="616"/>
      <c r="C285" s="616"/>
      <c r="D285" s="616"/>
      <c r="E285" s="616"/>
      <c r="F285" s="617"/>
      <c r="G285" s="618"/>
      <c r="H285" s="618"/>
      <c r="I285" s="619"/>
      <c r="J285" s="620"/>
      <c r="K285" s="621"/>
      <c r="L285" s="621"/>
      <c r="M285" s="621"/>
      <c r="N285" s="621"/>
      <c r="O285" s="621"/>
      <c r="P285" s="31"/>
      <c r="Q285" s="31"/>
      <c r="R285" s="622"/>
      <c r="S285" s="132"/>
      <c r="T285" s="623"/>
      <c r="U285" s="623"/>
      <c r="V285" s="624" t="s">
        <v>1229</v>
      </c>
      <c r="W285" s="624"/>
      <c r="X285" s="624"/>
      <c r="Y285" s="624"/>
      <c r="Z285" s="624"/>
      <c r="AA285" s="624"/>
      <c r="AB285" s="624"/>
      <c r="AC285" s="609"/>
      <c r="AD285" s="617"/>
      <c r="AE285" s="618"/>
      <c r="AF285" s="618"/>
      <c r="AG285" s="619"/>
      <c r="AH285" s="620"/>
      <c r="AI285" s="621"/>
      <c r="AJ285" s="621"/>
    </row>
    <row r="286" spans="1:56" ht="13.5" thickBot="1">
      <c r="A286" s="604" t="str">
        <f>IF(D309=1,B301,IF(D309=2,B302,IF(D309=3,B303,IF(D309=4,B304,IF(OR(D309="B",D309="b"),"BYE","invalid")))))</f>
        <v>SC Midlands KP Black</v>
      </c>
      <c r="B286" s="604"/>
      <c r="C286" s="604"/>
      <c r="D286" s="604"/>
      <c r="E286" s="625"/>
      <c r="F286" s="607"/>
      <c r="G286" s="31"/>
      <c r="H286" s="31"/>
      <c r="I286" s="31"/>
      <c r="J286" s="607"/>
      <c r="K286" s="31"/>
      <c r="L286" s="31"/>
      <c r="M286" s="31"/>
      <c r="N286" s="31"/>
      <c r="O286" s="31"/>
      <c r="P286" s="31"/>
      <c r="Q286" s="31"/>
      <c r="R286" s="31"/>
      <c r="V286" s="31"/>
      <c r="W286" s="604" t="str">
        <f>IF(Z309=1,Y301,IF(Z309=2,Y302,IF(Z309=3,Y303,IF(Z309=4,Y304,IF(OR(Z309="B",Z309="b"),"BYE","invalid")))))</f>
        <v>3rd Place Court 2</v>
      </c>
      <c r="X286" s="604"/>
      <c r="Y286" s="604"/>
      <c r="Z286" s="604"/>
      <c r="AA286" s="604"/>
      <c r="AB286" s="604"/>
      <c r="AC286" s="625"/>
      <c r="AD286" s="31"/>
      <c r="AE286" s="31"/>
      <c r="AF286" s="31"/>
      <c r="AG286" s="609"/>
      <c r="AH286" s="31"/>
      <c r="AI286" s="31"/>
      <c r="AW286" s="166"/>
      <c r="AX286" s="115"/>
      <c r="AY286" s="115"/>
      <c r="AZ286" s="115"/>
      <c r="BA286" s="115"/>
    </row>
    <row r="287" spans="1:56">
      <c r="A287" s="606" t="s">
        <v>1262</v>
      </c>
      <c r="B287" s="606"/>
      <c r="C287" s="606"/>
      <c r="D287" s="606"/>
      <c r="E287" s="606"/>
      <c r="F287" s="31"/>
      <c r="G287" s="31"/>
      <c r="H287" s="31"/>
      <c r="I287" s="31"/>
      <c r="J287" s="607"/>
      <c r="K287" s="31"/>
      <c r="L287" s="31"/>
      <c r="M287" s="31"/>
      <c r="N287" s="31"/>
      <c r="O287" s="31"/>
      <c r="P287" s="31"/>
      <c r="Q287" s="31"/>
      <c r="R287" s="31"/>
      <c r="W287" s="818" t="s">
        <v>1263</v>
      </c>
      <c r="X287" s="818"/>
      <c r="Y287" s="818"/>
      <c r="Z287" s="818"/>
      <c r="AA287" s="818"/>
      <c r="AB287" s="818"/>
      <c r="AC287" s="818"/>
      <c r="AD287" s="31"/>
      <c r="AE287" s="31"/>
      <c r="AF287" s="31"/>
      <c r="AG287" s="609"/>
      <c r="AH287" s="31"/>
      <c r="AI287" s="31"/>
      <c r="AS287" s="120"/>
      <c r="AW287" s="166"/>
      <c r="AX287" s="115"/>
      <c r="AY287" s="115"/>
      <c r="AZ287" s="115"/>
      <c r="BA287" s="115"/>
      <c r="BB287" s="120"/>
      <c r="BC287" s="120"/>
      <c r="BD287" s="120"/>
    </row>
    <row r="288" spans="1:56">
      <c r="A288" s="31"/>
      <c r="B288" s="31"/>
      <c r="C288" s="31"/>
      <c r="D288" s="31"/>
      <c r="E288" s="31"/>
      <c r="F288" s="615" t="s">
        <v>1222</v>
      </c>
      <c r="G288" s="615"/>
      <c r="H288" s="615"/>
      <c r="I288" s="626"/>
      <c r="J288" s="607"/>
      <c r="K288" s="31"/>
      <c r="L288" s="31"/>
      <c r="M288" s="31"/>
      <c r="N288" s="31"/>
      <c r="O288" s="31"/>
      <c r="P288" s="31"/>
      <c r="Q288" s="31"/>
      <c r="R288" s="31"/>
      <c r="T288" s="31"/>
      <c r="U288" s="31"/>
      <c r="V288" s="31"/>
      <c r="W288" s="31"/>
      <c r="X288" s="31"/>
      <c r="Y288" s="614"/>
      <c r="Z288" s="614"/>
      <c r="AA288" s="614"/>
      <c r="AC288" s="614"/>
      <c r="AD288" s="615" t="s">
        <v>1222</v>
      </c>
      <c r="AE288" s="615"/>
      <c r="AF288" s="615"/>
      <c r="AG288" s="626"/>
      <c r="AH288" s="31"/>
      <c r="AI288" s="31"/>
      <c r="AW288" s="166"/>
      <c r="AX288" s="115"/>
      <c r="AY288" s="115"/>
      <c r="AZ288" s="115"/>
      <c r="BA288" s="115"/>
    </row>
    <row r="289" spans="1:53" ht="13.5" thickBot="1">
      <c r="A289" s="31"/>
      <c r="B289" s="31"/>
      <c r="C289" s="31"/>
      <c r="D289" s="31"/>
      <c r="E289" s="31"/>
      <c r="F289" s="31"/>
      <c r="G289" s="31"/>
      <c r="H289" s="31"/>
      <c r="I289" s="31"/>
      <c r="J289" s="627" t="str">
        <f>IF(K314=1,B301,IF(K314=2,B302,IF(K314=3,B303,IF(K314=4,B304,"Division Winner"))))</f>
        <v>Division Winner</v>
      </c>
      <c r="K289" s="628"/>
      <c r="L289" s="628"/>
      <c r="M289" s="628"/>
      <c r="N289" s="628"/>
      <c r="O289" s="628"/>
      <c r="P289" s="628"/>
      <c r="Q289" s="628"/>
      <c r="R289" s="819"/>
      <c r="S289" s="605"/>
      <c r="T289" s="31"/>
      <c r="U289" s="31"/>
      <c r="V289" s="31"/>
      <c r="W289" s="31"/>
      <c r="X289" s="31"/>
      <c r="Y289" s="31"/>
      <c r="Z289" s="31"/>
      <c r="AA289" s="31"/>
      <c r="AB289" s="31"/>
      <c r="AC289" s="51"/>
      <c r="AD289" s="51"/>
      <c r="AE289" s="51"/>
      <c r="AF289" s="51"/>
      <c r="AG289" s="52"/>
      <c r="AH289" s="627" t="str">
        <f>IF(AG314=1,Y301,IF(AG314=2,Y302,IF(AG314=3,Y303,IF(AG314=4,Y304,"Division Winner"))))</f>
        <v>Division Winner</v>
      </c>
      <c r="AI289" s="628"/>
      <c r="AJ289" s="628"/>
      <c r="AK289" s="628"/>
      <c r="AL289" s="628"/>
      <c r="AM289" s="628"/>
      <c r="AW289" s="166"/>
      <c r="AX289" s="115"/>
      <c r="AY289" s="115"/>
      <c r="AZ289" s="115"/>
      <c r="BA289" s="115"/>
    </row>
    <row r="290" spans="1:53" ht="13.5" thickBot="1">
      <c r="A290" s="604" t="str">
        <f>IF(E309=1,B301,IF(E309=2,B302,IF(E309=3,B303,IF(E309=4,B304,IF(OR(E309="B",E309="b"),"BYE","invalid")))))</f>
        <v>1st Place Court 2</v>
      </c>
      <c r="B290" s="604"/>
      <c r="C290" s="604"/>
      <c r="D290" s="604"/>
      <c r="E290" s="604"/>
      <c r="F290" s="616" t="s">
        <v>1223</v>
      </c>
      <c r="G290" s="616"/>
      <c r="H290" s="616"/>
      <c r="I290" s="616"/>
      <c r="J290" s="631" t="s">
        <v>1224</v>
      </c>
      <c r="K290" s="632"/>
      <c r="L290" s="632"/>
      <c r="M290" s="632"/>
      <c r="N290" s="632"/>
      <c r="O290" s="632"/>
      <c r="P290" s="632"/>
      <c r="Q290" s="632"/>
      <c r="R290" s="614"/>
      <c r="T290" s="51"/>
      <c r="U290" s="51"/>
      <c r="V290" s="51"/>
      <c r="W290" s="604" t="str">
        <f>IF(AA309=1,Y301,IF(AA309=2,Y302,IF(AA309=3,Y303,IF(AA309=4,Y304,IF(OR(AA309="B",AA309="b"),"BYE","invalid")))))</f>
        <v>2nd Place Court 2</v>
      </c>
      <c r="X290" s="604"/>
      <c r="Y290" s="604"/>
      <c r="Z290" s="604"/>
      <c r="AA290" s="604"/>
      <c r="AB290" s="604"/>
      <c r="AC290" s="604"/>
      <c r="AD290" s="616" t="s">
        <v>1225</v>
      </c>
      <c r="AE290" s="616"/>
      <c r="AF290" s="616"/>
      <c r="AG290" s="630"/>
      <c r="AH290" s="629" t="s">
        <v>1226</v>
      </c>
      <c r="AI290" s="615"/>
      <c r="AJ290" s="615"/>
      <c r="AK290" s="615"/>
      <c r="AL290" s="615"/>
      <c r="AM290" s="615"/>
      <c r="AW290" s="166"/>
      <c r="AX290" s="115"/>
      <c r="AY290" s="115"/>
      <c r="AZ290" s="115"/>
      <c r="BA290" s="115"/>
    </row>
    <row r="291" spans="1:53">
      <c r="A291" s="606" t="s">
        <v>1227</v>
      </c>
      <c r="B291" s="606"/>
      <c r="C291" s="606"/>
      <c r="D291" s="606"/>
      <c r="E291" s="606"/>
      <c r="F291" s="607"/>
      <c r="G291" s="31"/>
      <c r="H291" s="31"/>
      <c r="I291" s="31"/>
      <c r="J291" s="629"/>
      <c r="K291" s="615"/>
      <c r="L291" s="615"/>
      <c r="M291" s="615"/>
      <c r="N291" s="615"/>
      <c r="O291" s="615"/>
      <c r="P291" s="615"/>
      <c r="Q291" s="615"/>
      <c r="R291" s="615"/>
      <c r="S291" s="31"/>
      <c r="T291" s="120"/>
      <c r="U291" s="120"/>
      <c r="V291" s="120"/>
      <c r="W291" s="610" t="s">
        <v>1264</v>
      </c>
      <c r="X291" s="610"/>
      <c r="Y291" s="610"/>
      <c r="Z291" s="610"/>
      <c r="AA291" s="610"/>
      <c r="AB291" s="610"/>
      <c r="AC291" s="611"/>
      <c r="AD291" s="31"/>
      <c r="AE291" s="31"/>
      <c r="AF291" s="31"/>
      <c r="AG291" s="609"/>
      <c r="AH291" s="31"/>
      <c r="AI291" s="31"/>
      <c r="AW291" s="166"/>
      <c r="AX291" s="115"/>
      <c r="AY291" s="115"/>
      <c r="AZ291" s="115"/>
      <c r="BA291" s="115"/>
    </row>
    <row r="292" spans="1:53">
      <c r="A292" s="31"/>
      <c r="B292" s="31"/>
      <c r="C292" s="31"/>
      <c r="D292" s="31"/>
      <c r="E292" s="31"/>
      <c r="F292" s="607"/>
      <c r="G292" s="31"/>
      <c r="H292" s="31"/>
      <c r="I292" s="31"/>
      <c r="J292" s="607"/>
      <c r="K292" s="31"/>
      <c r="L292" s="31"/>
      <c r="M292" s="31"/>
      <c r="N292" s="31"/>
      <c r="O292" s="31"/>
      <c r="P292" s="31"/>
      <c r="R292" s="31"/>
      <c r="S292" s="31"/>
      <c r="T292" s="31"/>
      <c r="U292" s="31"/>
      <c r="V292" s="31"/>
      <c r="W292" s="31"/>
      <c r="X292" s="31"/>
      <c r="Y292" s="31"/>
      <c r="Z292" s="31"/>
      <c r="AA292" s="31"/>
      <c r="AB292" s="31"/>
      <c r="AC292" s="609"/>
      <c r="AD292" s="607"/>
      <c r="AE292" s="31"/>
      <c r="AF292" s="31"/>
      <c r="AG292" s="609"/>
      <c r="AH292" s="31"/>
      <c r="AI292" s="31"/>
      <c r="AW292" s="166"/>
      <c r="AX292" s="115"/>
      <c r="AY292" s="115"/>
      <c r="AZ292" s="115"/>
      <c r="BA292" s="115"/>
    </row>
    <row r="293" spans="1:53" ht="13.5" thickBot="1">
      <c r="A293" s="738" t="s">
        <v>1228</v>
      </c>
      <c r="B293" s="738"/>
      <c r="C293" s="738"/>
      <c r="D293" s="738"/>
      <c r="E293" s="622"/>
      <c r="F293" s="633"/>
      <c r="G293" s="634"/>
      <c r="H293" s="634"/>
      <c r="I293" s="635"/>
      <c r="J293" s="620"/>
      <c r="K293" s="621"/>
      <c r="L293" s="621"/>
      <c r="M293" s="621"/>
      <c r="N293" s="621"/>
      <c r="O293" s="621"/>
      <c r="P293" s="31"/>
      <c r="S293" s="614"/>
      <c r="T293" s="614"/>
      <c r="U293" s="614"/>
      <c r="V293" s="615" t="s">
        <v>1228</v>
      </c>
      <c r="W293" s="615"/>
      <c r="X293" s="615"/>
      <c r="Y293" s="615"/>
      <c r="Z293" s="615"/>
      <c r="AA293" s="615"/>
      <c r="AB293" s="615"/>
      <c r="AC293" s="31"/>
      <c r="AD293" s="633"/>
      <c r="AE293" s="634"/>
      <c r="AF293" s="634"/>
      <c r="AG293" s="635"/>
      <c r="AH293" s="620"/>
      <c r="AI293" s="621"/>
      <c r="AJ293" s="621"/>
      <c r="AW293" s="166"/>
      <c r="AX293" s="115"/>
      <c r="AY293" s="115"/>
      <c r="AZ293" s="115"/>
      <c r="BA293" s="115"/>
    </row>
    <row r="294" spans="1:53">
      <c r="A294" s="616" t="s">
        <v>1221</v>
      </c>
      <c r="B294" s="616"/>
      <c r="C294" s="616"/>
      <c r="D294" s="616"/>
      <c r="E294" s="630"/>
      <c r="F294" s="612" t="str">
        <f>IF(J309=1,B301,IF(J309=2,B302,IF(J309=3,B303,IF(J309=4,B304,"Winner Match 2"))))</f>
        <v>Winner Match 2</v>
      </c>
      <c r="G294" s="613"/>
      <c r="H294" s="613"/>
      <c r="I294" s="613"/>
      <c r="J294" s="613"/>
      <c r="K294" s="613"/>
      <c r="L294" s="613"/>
      <c r="M294" s="613"/>
      <c r="N294" s="613"/>
      <c r="O294" s="613"/>
      <c r="P294" s="31"/>
      <c r="R294" s="622"/>
      <c r="S294" s="622"/>
      <c r="U294" s="623"/>
      <c r="V294" s="616" t="s">
        <v>1229</v>
      </c>
      <c r="W294" s="616"/>
      <c r="X294" s="616"/>
      <c r="Y294" s="616"/>
      <c r="Z294" s="616"/>
      <c r="AA294" s="616"/>
      <c r="AB294" s="616"/>
      <c r="AC294" s="609"/>
      <c r="AD294" s="612" t="str">
        <f>IF(AF309=1,Y301,IF(AF309=2,Y302,IF(AF309=3,Y303,IF(AF309=4,Y304,"Winner Match 2"))))</f>
        <v>Winner Match 2</v>
      </c>
      <c r="AE294" s="613"/>
      <c r="AF294" s="613"/>
      <c r="AG294" s="613"/>
      <c r="AH294" s="613"/>
      <c r="AI294" s="613"/>
      <c r="AJ294" s="613"/>
      <c r="AW294" s="166"/>
      <c r="AX294" s="115"/>
      <c r="AY294" s="115"/>
      <c r="AZ294" s="115"/>
      <c r="BA294" s="115"/>
    </row>
    <row r="295" spans="1:53" ht="13.5" thickBot="1">
      <c r="A295" s="604" t="str">
        <f>IF(G309=1,B301,IF(G309=2,B302,IF(G309=3,B303,IF(G309=4,B304,IF(OR(G309="B",G309="b"),"BYE","invalid")))))</f>
        <v>SC Midlands KP Silver</v>
      </c>
      <c r="B295" s="604"/>
      <c r="C295" s="604"/>
      <c r="D295" s="604"/>
      <c r="E295" s="625"/>
      <c r="F295" s="607"/>
      <c r="G295" s="31"/>
      <c r="H295" s="31"/>
      <c r="I295" s="31"/>
      <c r="J295" s="31"/>
      <c r="K295" s="31"/>
      <c r="L295" s="31"/>
      <c r="M295" s="31"/>
      <c r="N295" s="31"/>
      <c r="O295" s="31"/>
      <c r="P295" s="31"/>
      <c r="R295" s="31"/>
      <c r="S295" s="31"/>
      <c r="T295" s="31"/>
      <c r="U295" s="51"/>
      <c r="V295" s="51"/>
      <c r="W295" s="604" t="str">
        <f>IF(AC309=1,Y301,IF(AC309=2,Y302,IF(AC309=3,Y303,IF(AC309=4,Y304,IF(OR(AC309="B",AC309="b"),"BYE","invalid")))))</f>
        <v>3rd Place Court 1</v>
      </c>
      <c r="X295" s="604"/>
      <c r="Y295" s="604"/>
      <c r="Z295" s="604"/>
      <c r="AA295" s="604"/>
      <c r="AB295" s="604"/>
      <c r="AC295" s="625"/>
      <c r="AD295" s="31"/>
      <c r="AE295" s="31"/>
      <c r="AF295" s="31"/>
      <c r="AG295" s="31"/>
      <c r="AW295" s="166"/>
      <c r="AX295" s="115"/>
      <c r="AY295" s="115"/>
      <c r="AZ295" s="115"/>
      <c r="BA295" s="115"/>
    </row>
    <row r="296" spans="1:53">
      <c r="A296" s="606" t="s">
        <v>1265</v>
      </c>
      <c r="B296" s="606"/>
      <c r="C296" s="606"/>
      <c r="D296" s="606"/>
      <c r="E296" s="606"/>
      <c r="U296" s="120"/>
      <c r="V296" s="120"/>
      <c r="W296" s="610" t="s">
        <v>1266</v>
      </c>
      <c r="X296" s="610"/>
      <c r="Y296" s="610"/>
      <c r="Z296" s="610"/>
      <c r="AA296" s="610"/>
      <c r="AB296" s="610"/>
      <c r="AC296" s="610"/>
      <c r="AW296" s="166"/>
      <c r="AX296" s="115"/>
      <c r="AY296" s="115"/>
      <c r="AZ296" s="115"/>
      <c r="BA296" s="115"/>
    </row>
    <row r="297" spans="1:53">
      <c r="AT297" s="115"/>
      <c r="AU297" s="115"/>
      <c r="AV297" s="115"/>
      <c r="AW297" s="166"/>
      <c r="AX297" s="115"/>
      <c r="AY297" s="115"/>
      <c r="AZ297" s="115"/>
      <c r="BA297" s="115"/>
    </row>
    <row r="298" spans="1:53">
      <c r="AT298" s="115"/>
      <c r="AU298" s="115"/>
      <c r="AV298" s="115"/>
      <c r="AW298" s="166"/>
      <c r="AX298" s="115"/>
      <c r="AY298" s="115"/>
      <c r="AZ298" s="115"/>
      <c r="BA298" s="115"/>
    </row>
    <row r="299" spans="1:53" ht="16.5" thickBot="1">
      <c r="A299" s="636" t="s">
        <v>1230</v>
      </c>
      <c r="B299" s="636"/>
      <c r="C299" s="636"/>
      <c r="D299" s="636"/>
      <c r="E299" s="636"/>
      <c r="F299" s="636"/>
      <c r="G299" s="636"/>
      <c r="H299" s="636"/>
      <c r="I299" s="636"/>
      <c r="J299" s="636"/>
      <c r="K299" s="637"/>
      <c r="L299" s="637"/>
      <c r="S299" s="638"/>
      <c r="T299" s="638"/>
      <c r="U299" s="638"/>
      <c r="V299" s="636" t="s">
        <v>1231</v>
      </c>
      <c r="W299" s="636"/>
      <c r="X299" s="636"/>
      <c r="Y299" s="636"/>
      <c r="Z299" s="636"/>
      <c r="AA299" s="636"/>
      <c r="AB299" s="636"/>
      <c r="AC299" s="636"/>
      <c r="AD299" s="636"/>
      <c r="AE299" s="636"/>
      <c r="AF299" s="636"/>
      <c r="AG299" s="636"/>
      <c r="AT299" s="115"/>
      <c r="AU299" s="115"/>
      <c r="AV299" s="115"/>
      <c r="AW299" s="166"/>
      <c r="AX299" s="115"/>
      <c r="AY299" s="115"/>
      <c r="AZ299" s="115"/>
      <c r="BA299" s="115"/>
    </row>
    <row r="300" spans="1:53" ht="13.5" thickBot="1">
      <c r="A300" s="639" t="s">
        <v>1232</v>
      </c>
      <c r="B300" s="640" t="s">
        <v>1233</v>
      </c>
      <c r="C300" s="641"/>
      <c r="D300" s="641"/>
      <c r="E300" s="641"/>
      <c r="F300" s="641"/>
      <c r="G300" s="641"/>
      <c r="H300" s="641"/>
      <c r="I300" s="641"/>
      <c r="J300" s="642"/>
      <c r="K300" s="643" t="s">
        <v>1234</v>
      </c>
      <c r="L300" s="644"/>
      <c r="M300" s="644"/>
      <c r="N300" s="644"/>
      <c r="O300" s="644"/>
      <c r="P300" s="644"/>
      <c r="Q300" s="645"/>
      <c r="R300" s="51"/>
      <c r="S300" s="31"/>
      <c r="V300" s="646" t="s">
        <v>1232</v>
      </c>
      <c r="W300" s="647"/>
      <c r="X300" s="648"/>
      <c r="Y300" s="640" t="s">
        <v>1233</v>
      </c>
      <c r="Z300" s="641"/>
      <c r="AA300" s="641"/>
      <c r="AB300" s="641"/>
      <c r="AC300" s="641"/>
      <c r="AD300" s="641"/>
      <c r="AE300" s="641"/>
      <c r="AF300" s="641"/>
      <c r="AG300" s="642"/>
      <c r="AH300" s="643" t="s">
        <v>1234</v>
      </c>
      <c r="AI300" s="644"/>
      <c r="AJ300" s="644"/>
      <c r="AK300" s="644"/>
      <c r="AL300" s="644"/>
      <c r="AM300" s="644"/>
      <c r="AN300" s="645"/>
      <c r="AT300" s="115"/>
      <c r="AU300" s="115"/>
      <c r="AV300" s="115"/>
      <c r="AW300" s="166"/>
      <c r="AX300" s="115"/>
      <c r="AY300" s="115"/>
      <c r="AZ300" s="115"/>
      <c r="BA300" s="115"/>
    </row>
    <row r="301" spans="1:53" ht="13.5" thickBot="1">
      <c r="A301" s="639">
        <v>1</v>
      </c>
      <c r="B301" s="649" t="str">
        <f>B264</f>
        <v>1st Place Court 1</v>
      </c>
      <c r="C301" s="650"/>
      <c r="D301" s="650"/>
      <c r="E301" s="650"/>
      <c r="F301" s="650"/>
      <c r="G301" s="650"/>
      <c r="H301" s="650"/>
      <c r="I301" s="650"/>
      <c r="J301" s="651"/>
      <c r="K301" s="652" t="str">
        <f>F264</f>
        <v>1st Place Court 1</v>
      </c>
      <c r="L301" s="653"/>
      <c r="M301" s="653"/>
      <c r="N301" s="653"/>
      <c r="O301" s="653"/>
      <c r="P301" s="653"/>
      <c r="Q301" s="654"/>
      <c r="R301" s="51"/>
      <c r="S301" s="31"/>
      <c r="V301" s="646">
        <v>1</v>
      </c>
      <c r="W301" s="647"/>
      <c r="X301" s="648"/>
      <c r="Y301" s="649" t="str">
        <f>M270</f>
        <v>2nd Place Court 1</v>
      </c>
      <c r="Z301" s="650"/>
      <c r="AA301" s="650"/>
      <c r="AB301" s="650"/>
      <c r="AC301" s="650"/>
      <c r="AD301" s="650"/>
      <c r="AE301" s="650"/>
      <c r="AF301" s="650"/>
      <c r="AG301" s="651"/>
      <c r="AH301" s="652" t="str">
        <f>T270</f>
        <v>2nd Place Court 1</v>
      </c>
      <c r="AI301" s="653"/>
      <c r="AJ301" s="653"/>
      <c r="AK301" s="653"/>
      <c r="AL301" s="653"/>
      <c r="AM301" s="653"/>
      <c r="AN301" s="654"/>
      <c r="AT301" s="115"/>
      <c r="AU301" s="115"/>
      <c r="AV301" s="115"/>
      <c r="AW301" s="166"/>
      <c r="AX301" s="115"/>
      <c r="AY301" s="115"/>
      <c r="AZ301" s="115"/>
      <c r="BA301" s="115"/>
    </row>
    <row r="302" spans="1:53" ht="13.5" thickBot="1">
      <c r="A302" s="639">
        <v>2</v>
      </c>
      <c r="B302" s="649" t="str">
        <f>B265</f>
        <v>1st Place Court 2</v>
      </c>
      <c r="C302" s="650"/>
      <c r="D302" s="650"/>
      <c r="E302" s="650"/>
      <c r="F302" s="650"/>
      <c r="G302" s="650"/>
      <c r="H302" s="650"/>
      <c r="I302" s="650"/>
      <c r="J302" s="651"/>
      <c r="K302" s="652" t="str">
        <f>F265</f>
        <v>1st Place Court 2</v>
      </c>
      <c r="L302" s="653"/>
      <c r="M302" s="653"/>
      <c r="N302" s="653"/>
      <c r="O302" s="653"/>
      <c r="P302" s="653"/>
      <c r="Q302" s="654"/>
      <c r="R302" s="51"/>
      <c r="S302" s="31"/>
      <c r="V302" s="646">
        <v>2</v>
      </c>
      <c r="W302" s="647"/>
      <c r="X302" s="648"/>
      <c r="Y302" s="649" t="str">
        <f>M271</f>
        <v>2nd Place Court 2</v>
      </c>
      <c r="Z302" s="650"/>
      <c r="AA302" s="650"/>
      <c r="AB302" s="650"/>
      <c r="AC302" s="650"/>
      <c r="AD302" s="650"/>
      <c r="AE302" s="650"/>
      <c r="AF302" s="650"/>
      <c r="AG302" s="651"/>
      <c r="AH302" s="652" t="str">
        <f>T271</f>
        <v>2nd Place Court 2</v>
      </c>
      <c r="AI302" s="653"/>
      <c r="AJ302" s="653"/>
      <c r="AK302" s="653"/>
      <c r="AL302" s="653"/>
      <c r="AM302" s="653"/>
      <c r="AN302" s="654"/>
      <c r="AT302" s="115"/>
      <c r="AU302" s="115"/>
      <c r="AV302" s="115"/>
      <c r="AW302" s="166"/>
      <c r="AX302" s="115"/>
      <c r="AY302" s="115"/>
      <c r="AZ302" s="115"/>
      <c r="BA302" s="115"/>
    </row>
    <row r="303" spans="1:53" ht="13.5" thickBot="1">
      <c r="A303" s="639">
        <v>3</v>
      </c>
      <c r="B303" s="649" t="str">
        <f>B266</f>
        <v>SC Midlands KP Silver</v>
      </c>
      <c r="C303" s="650"/>
      <c r="D303" s="650"/>
      <c r="E303" s="650"/>
      <c r="F303" s="650"/>
      <c r="G303" s="650"/>
      <c r="H303" s="650"/>
      <c r="I303" s="650"/>
      <c r="J303" s="651"/>
      <c r="K303" s="652" t="str">
        <f>F266</f>
        <v>fj1scmid4pm</v>
      </c>
      <c r="L303" s="653"/>
      <c r="M303" s="653"/>
      <c r="N303" s="653"/>
      <c r="O303" s="653"/>
      <c r="P303" s="653"/>
      <c r="Q303" s="654"/>
      <c r="R303" s="51"/>
      <c r="S303" s="31"/>
      <c r="V303" s="646">
        <v>3</v>
      </c>
      <c r="W303" s="647"/>
      <c r="X303" s="648"/>
      <c r="Y303" s="649" t="str">
        <f>X269</f>
        <v>3rd Place Court 1</v>
      </c>
      <c r="Z303" s="650"/>
      <c r="AA303" s="650"/>
      <c r="AB303" s="650"/>
      <c r="AC303" s="650"/>
      <c r="AD303" s="650"/>
      <c r="AE303" s="650"/>
      <c r="AF303" s="650"/>
      <c r="AG303" s="651"/>
      <c r="AH303" s="652" t="str">
        <f>AF269</f>
        <v>3rd Place Court 1</v>
      </c>
      <c r="AI303" s="653"/>
      <c r="AJ303" s="653"/>
      <c r="AK303" s="653"/>
      <c r="AL303" s="653"/>
      <c r="AM303" s="653"/>
      <c r="AN303" s="654"/>
      <c r="AT303" s="115"/>
      <c r="AU303" s="115"/>
      <c r="AV303" s="115"/>
      <c r="AW303" s="166"/>
      <c r="AX303" s="115"/>
      <c r="AY303" s="115"/>
      <c r="AZ303" s="115"/>
      <c r="BA303" s="115"/>
    </row>
    <row r="304" spans="1:53" ht="13.5" thickBot="1">
      <c r="A304" s="639">
        <v>4</v>
      </c>
      <c r="B304" s="741" t="str">
        <f>M269</f>
        <v>SC Midlands KP Black</v>
      </c>
      <c r="C304" s="742"/>
      <c r="D304" s="742"/>
      <c r="E304" s="742"/>
      <c r="F304" s="742"/>
      <c r="G304" s="742"/>
      <c r="H304" s="742"/>
      <c r="I304" s="742"/>
      <c r="J304" s="743"/>
      <c r="K304" s="652" t="str">
        <f>T269</f>
        <v>fj1scmid1pm</v>
      </c>
      <c r="L304" s="653"/>
      <c r="M304" s="653"/>
      <c r="N304" s="653"/>
      <c r="O304" s="653"/>
      <c r="P304" s="653"/>
      <c r="Q304" s="654"/>
      <c r="R304" s="51"/>
      <c r="S304" s="31"/>
      <c r="V304" s="646">
        <v>4</v>
      </c>
      <c r="W304" s="647"/>
      <c r="X304" s="648"/>
      <c r="Y304" s="649" t="str">
        <f>X270</f>
        <v>3rd Place Court 2</v>
      </c>
      <c r="Z304" s="650"/>
      <c r="AA304" s="650"/>
      <c r="AB304" s="650"/>
      <c r="AC304" s="650"/>
      <c r="AD304" s="650"/>
      <c r="AE304" s="650"/>
      <c r="AF304" s="650"/>
      <c r="AG304" s="651"/>
      <c r="AH304" s="652" t="str">
        <f>AF270</f>
        <v>3rd Place Court 2</v>
      </c>
      <c r="AI304" s="653"/>
      <c r="AJ304" s="653"/>
      <c r="AK304" s="653"/>
      <c r="AL304" s="653"/>
      <c r="AM304" s="653"/>
      <c r="AN304" s="654"/>
      <c r="AT304" s="115"/>
      <c r="AU304" s="115"/>
      <c r="AV304" s="115"/>
      <c r="AW304" s="166"/>
      <c r="AX304" s="115"/>
      <c r="AY304" s="115"/>
      <c r="AZ304" s="115"/>
      <c r="BA304" s="115"/>
    </row>
    <row r="305" spans="1:80" ht="13.5" thickBot="1">
      <c r="AT305" s="115"/>
      <c r="AU305" s="115"/>
      <c r="AV305" s="115"/>
      <c r="AW305" s="166"/>
      <c r="AX305" s="115"/>
      <c r="AY305" s="115"/>
      <c r="AZ305" s="115"/>
      <c r="BA305" s="115"/>
    </row>
    <row r="306" spans="1:80">
      <c r="B306" s="655" t="s">
        <v>1236</v>
      </c>
      <c r="C306" s="656"/>
      <c r="D306" s="657"/>
      <c r="E306" s="658" t="s">
        <v>1236</v>
      </c>
      <c r="F306" s="656"/>
      <c r="G306" s="657"/>
      <c r="H306" s="658" t="s">
        <v>7</v>
      </c>
      <c r="I306" s="656"/>
      <c r="J306" s="659"/>
      <c r="K306" s="660" t="s">
        <v>1237</v>
      </c>
      <c r="L306" s="661"/>
      <c r="M306" s="661"/>
      <c r="N306" s="661"/>
      <c r="O306" s="661"/>
      <c r="P306" s="661"/>
      <c r="Q306" s="662"/>
      <c r="S306" s="663"/>
      <c r="T306" s="663"/>
      <c r="U306" s="663"/>
      <c r="V306" s="663"/>
      <c r="X306" s="655" t="s">
        <v>1236</v>
      </c>
      <c r="Y306" s="656"/>
      <c r="Z306" s="657"/>
      <c r="AA306" s="658" t="s">
        <v>1236</v>
      </c>
      <c r="AB306" s="656"/>
      <c r="AC306" s="657"/>
      <c r="AD306" s="658" t="s">
        <v>7</v>
      </c>
      <c r="AE306" s="656"/>
      <c r="AF306" s="659"/>
      <c r="AG306" s="660" t="s">
        <v>1237</v>
      </c>
      <c r="AH306" s="664"/>
      <c r="AI306" s="664"/>
      <c r="AJ306" s="664"/>
      <c r="AK306" s="665"/>
      <c r="AW306" s="166"/>
      <c r="AX306" s="115"/>
      <c r="AY306" s="115"/>
      <c r="AZ306" s="115"/>
      <c r="BA306" s="115"/>
    </row>
    <row r="307" spans="1:80">
      <c r="A307" s="107" t="s">
        <v>1238</v>
      </c>
      <c r="B307" s="666">
        <v>3</v>
      </c>
      <c r="C307" s="667"/>
      <c r="D307" s="668"/>
      <c r="E307" s="669" t="s">
        <v>1239</v>
      </c>
      <c r="F307" s="667"/>
      <c r="G307" s="668"/>
      <c r="H307" s="669" t="s">
        <v>1240</v>
      </c>
      <c r="I307" s="667"/>
      <c r="J307" s="670"/>
      <c r="K307" s="671"/>
      <c r="L307" s="672"/>
      <c r="M307" s="672"/>
      <c r="N307" s="672"/>
      <c r="O307" s="672"/>
      <c r="P307" s="672"/>
      <c r="Q307" s="673"/>
      <c r="S307" s="663"/>
      <c r="T307" s="663"/>
      <c r="U307" s="674" t="s">
        <v>1238</v>
      </c>
      <c r="V307" s="674"/>
      <c r="W307" s="675"/>
      <c r="X307" s="666">
        <v>3</v>
      </c>
      <c r="Y307" s="667"/>
      <c r="Z307" s="668"/>
      <c r="AA307" s="669" t="s">
        <v>1239</v>
      </c>
      <c r="AB307" s="667"/>
      <c r="AC307" s="668"/>
      <c r="AD307" s="669" t="s">
        <v>1240</v>
      </c>
      <c r="AE307" s="667"/>
      <c r="AF307" s="670"/>
      <c r="AG307" s="676"/>
      <c r="AH307" s="677"/>
      <c r="AI307" s="677"/>
      <c r="AJ307" s="677"/>
      <c r="AK307" s="678"/>
      <c r="AW307" s="166"/>
      <c r="AX307" s="115"/>
      <c r="AY307" s="115"/>
      <c r="AZ307" s="115"/>
      <c r="BA307" s="115"/>
    </row>
    <row r="308" spans="1:80" ht="13.5" thickBot="1">
      <c r="A308" s="534"/>
      <c r="B308" s="679" t="s">
        <v>30</v>
      </c>
      <c r="C308" s="387"/>
      <c r="D308" s="388"/>
      <c r="E308" s="386" t="s">
        <v>1241</v>
      </c>
      <c r="F308" s="387"/>
      <c r="G308" s="388"/>
      <c r="H308" s="386" t="s">
        <v>1242</v>
      </c>
      <c r="I308" s="387"/>
      <c r="J308" s="680"/>
      <c r="K308" s="681"/>
      <c r="L308" s="682"/>
      <c r="M308" s="682"/>
      <c r="N308" s="682"/>
      <c r="O308" s="682"/>
      <c r="P308" s="682"/>
      <c r="Q308" s="683"/>
      <c r="S308" s="663"/>
      <c r="T308" s="663"/>
      <c r="U308" s="684"/>
      <c r="V308" s="684"/>
      <c r="W308" s="685"/>
      <c r="X308" s="679" t="s">
        <v>30</v>
      </c>
      <c r="Y308" s="387"/>
      <c r="Z308" s="388"/>
      <c r="AA308" s="386" t="s">
        <v>1241</v>
      </c>
      <c r="AB308" s="387"/>
      <c r="AC308" s="388"/>
      <c r="AD308" s="386" t="s">
        <v>1242</v>
      </c>
      <c r="AE308" s="387"/>
      <c r="AF308" s="680"/>
      <c r="AG308" s="686"/>
      <c r="AH308" s="687"/>
      <c r="AI308" s="687"/>
      <c r="AJ308" s="687"/>
      <c r="AK308" s="688"/>
      <c r="AW308" s="166"/>
      <c r="AX308" s="115"/>
      <c r="AY308" s="115"/>
      <c r="AZ308" s="115"/>
      <c r="BA308" s="115"/>
    </row>
    <row r="309" spans="1:80" ht="13.5" thickBot="1">
      <c r="A309" s="534"/>
      <c r="B309" s="689">
        <v>1</v>
      </c>
      <c r="C309" s="690" t="s">
        <v>35</v>
      </c>
      <c r="D309" s="691">
        <v>4</v>
      </c>
      <c r="E309" s="692">
        <v>2</v>
      </c>
      <c r="F309" s="690" t="s">
        <v>35</v>
      </c>
      <c r="G309" s="691">
        <v>3</v>
      </c>
      <c r="H309" s="693" t="str">
        <f>IF(OR(AND(OR(B313&gt;0,D313&gt;0),B313&gt;D313),OR(D309="b",D309="B")),B309,IF(OR(AND(OR(B313&gt;0,D313&gt;0),D313&gt;B313),OR(B309="b",B309="B")),D309,"W1"))</f>
        <v>W1</v>
      </c>
      <c r="I309" s="694" t="s">
        <v>35</v>
      </c>
      <c r="J309" s="695" t="str">
        <f>IF(OR(AND(OR(E313&gt;0,G313&gt;0),E313&gt;G313),OR(G309="b",G309="B")),E309,IF(OR(AND(OR(E313&gt;0,G313&gt;0),G313&gt;E313),OR(E309="b",E309="B")),G309,"W2"))</f>
        <v>W2</v>
      </c>
      <c r="K309" s="696" t="s">
        <v>1243</v>
      </c>
      <c r="L309" s="697"/>
      <c r="M309" s="697"/>
      <c r="N309" s="698"/>
      <c r="S309" s="663"/>
      <c r="T309" s="663"/>
      <c r="U309" s="684"/>
      <c r="V309" s="684"/>
      <c r="W309" s="685"/>
      <c r="X309" s="689">
        <v>1</v>
      </c>
      <c r="Y309" s="690" t="s">
        <v>35</v>
      </c>
      <c r="Z309" s="691">
        <v>4</v>
      </c>
      <c r="AA309" s="692">
        <v>2</v>
      </c>
      <c r="AB309" s="690" t="s">
        <v>35</v>
      </c>
      <c r="AC309" s="691">
        <v>3</v>
      </c>
      <c r="AD309" s="693" t="str">
        <f>IF(OR(AND(OR(X313&gt;0,Z313&gt;0),X313&gt;Z313),OR(Z309="b",Z309="B")),X309,IF(OR(AND(OR(X313&gt;0,Z313&gt;0),Z313&gt;X313),OR(X309="b",X309="B")),Z309,"W1"))</f>
        <v>W1</v>
      </c>
      <c r="AE309" s="694" t="s">
        <v>35</v>
      </c>
      <c r="AF309" s="695" t="str">
        <f>IF(OR(AND(OR(AA313&gt;0,AC313&gt;0),AA313&gt;AC313),OR(AC313="b",AC313="B")),AA309,IF(OR(AND(OR(AA313&gt;0,AC313&gt;0),AC313&gt;AA313),OR(AA313="b",AA313="B")),AC309,"W2"))</f>
        <v>W2</v>
      </c>
      <c r="AG309" s="696" t="s">
        <v>1243</v>
      </c>
      <c r="AH309" s="698"/>
      <c r="AI309" s="663"/>
      <c r="AJ309" s="663"/>
      <c r="AK309" s="663"/>
      <c r="AW309" s="166"/>
      <c r="AX309" s="115"/>
      <c r="AY309" s="115"/>
      <c r="AZ309" s="115"/>
      <c r="BA309" s="115"/>
    </row>
    <row r="310" spans="1:80" ht="13.5" hidden="1" customHeight="1" thickBot="1">
      <c r="A310" s="534"/>
      <c r="B310" s="699">
        <f>IF(B314&gt;D314,1,0)</f>
        <v>0</v>
      </c>
      <c r="C310" s="700"/>
      <c r="D310" s="701">
        <f>IF(D314&gt;B314,1,0)</f>
        <v>0</v>
      </c>
      <c r="E310" s="699">
        <f>IF(E314&gt;G314,1,0)</f>
        <v>0</v>
      </c>
      <c r="F310" s="700"/>
      <c r="G310" s="701">
        <f>IF(G314&gt;E314,1,0)</f>
        <v>0</v>
      </c>
      <c r="H310" s="699">
        <f>IF(H314&gt;J314,1,0)</f>
        <v>0</v>
      </c>
      <c r="I310" s="700"/>
      <c r="J310" s="701">
        <f>IF(J314&gt;H314,1,0)</f>
        <v>0</v>
      </c>
      <c r="K310" s="702"/>
      <c r="L310" s="703"/>
      <c r="M310" s="703"/>
      <c r="N310" s="704"/>
      <c r="S310" s="663"/>
      <c r="T310" s="663"/>
      <c r="U310" s="684"/>
      <c r="V310" s="684"/>
      <c r="W310" s="685"/>
      <c r="X310" s="699">
        <f>IF(X314&gt;Z314,1,0)</f>
        <v>0</v>
      </c>
      <c r="Y310" s="700"/>
      <c r="Z310" s="701">
        <f>IF(Z314&gt;X314,1,0)</f>
        <v>0</v>
      </c>
      <c r="AA310" s="699">
        <f>IF(AA314&gt;AC314,1,0)</f>
        <v>0</v>
      </c>
      <c r="AB310" s="700"/>
      <c r="AC310" s="701">
        <f>IF(AC314&gt;AA314,1,0)</f>
        <v>0</v>
      </c>
      <c r="AD310" s="699">
        <f>IF(AD314&gt;AF314,1,0)</f>
        <v>0</v>
      </c>
      <c r="AE310" s="700"/>
      <c r="AF310" s="701">
        <f>IF(AF314&gt;AD314,1,0)</f>
        <v>0</v>
      </c>
      <c r="AG310" s="705"/>
      <c r="AH310" s="706"/>
      <c r="AI310" s="663"/>
      <c r="AJ310" s="663"/>
      <c r="AK310" s="663"/>
      <c r="AW310" s="166"/>
      <c r="AX310" s="115"/>
      <c r="AY310" s="115"/>
      <c r="AZ310" s="115"/>
      <c r="BA310" s="115"/>
    </row>
    <row r="311" spans="1:80" ht="13.5" hidden="1" customHeight="1" thickBot="1">
      <c r="A311" s="534"/>
      <c r="B311" s="699">
        <f>IF(B315&gt;D315,1,0)</f>
        <v>0</v>
      </c>
      <c r="C311" s="700"/>
      <c r="D311" s="701">
        <f>IF(D315&gt;B315,1,0)</f>
        <v>0</v>
      </c>
      <c r="E311" s="699">
        <f>IF(E315&gt;G315,1,0)</f>
        <v>0</v>
      </c>
      <c r="F311" s="700"/>
      <c r="G311" s="701">
        <f>IF(G315&gt;E315,1,0)</f>
        <v>0</v>
      </c>
      <c r="H311" s="699">
        <f>IF(H315&gt;J315,1,0)</f>
        <v>0</v>
      </c>
      <c r="I311" s="700"/>
      <c r="J311" s="701">
        <f>IF(J315&gt;H315,1,0)</f>
        <v>0</v>
      </c>
      <c r="K311" s="702"/>
      <c r="L311" s="703"/>
      <c r="M311" s="703"/>
      <c r="N311" s="704"/>
      <c r="S311" s="663"/>
      <c r="T311" s="663"/>
      <c r="U311" s="684"/>
      <c r="V311" s="684"/>
      <c r="W311" s="685"/>
      <c r="X311" s="699">
        <f>IF(X315&gt;Z315,1,0)</f>
        <v>0</v>
      </c>
      <c r="Y311" s="700"/>
      <c r="Z311" s="701">
        <f>IF(Z315&gt;X315,1,0)</f>
        <v>0</v>
      </c>
      <c r="AA311" s="699">
        <f>IF(AA315&gt;AC315,1,0)</f>
        <v>0</v>
      </c>
      <c r="AB311" s="700"/>
      <c r="AC311" s="701">
        <f>IF(AC315&gt;AA315,1,0)</f>
        <v>0</v>
      </c>
      <c r="AD311" s="699">
        <f>IF(AD315&gt;AF315,1,0)</f>
        <v>0</v>
      </c>
      <c r="AE311" s="700"/>
      <c r="AF311" s="701">
        <f>IF(AF315&gt;AD315,1,0)</f>
        <v>0</v>
      </c>
      <c r="AG311" s="705"/>
      <c r="AH311" s="706"/>
      <c r="AI311" s="663"/>
      <c r="AJ311" s="663"/>
      <c r="AK311" s="663"/>
      <c r="AW311" s="166"/>
      <c r="AX311" s="115"/>
      <c r="AY311" s="115"/>
      <c r="AZ311" s="115"/>
      <c r="BA311" s="115"/>
    </row>
    <row r="312" spans="1:80" ht="13.5" hidden="1" customHeight="1" thickBot="1">
      <c r="A312" s="534"/>
      <c r="B312" s="699">
        <f>IF(B316&gt;D316,1,0)</f>
        <v>0</v>
      </c>
      <c r="C312" s="700"/>
      <c r="D312" s="701">
        <f>IF(D316&gt;B316,1,0)</f>
        <v>0</v>
      </c>
      <c r="E312" s="699">
        <f>IF(E316&gt;G316,1,0)</f>
        <v>0</v>
      </c>
      <c r="F312" s="700"/>
      <c r="G312" s="701">
        <f>IF(G316&gt;E316,1,0)</f>
        <v>0</v>
      </c>
      <c r="H312" s="699">
        <f>IF(H316&gt;J316,1,0)</f>
        <v>0</v>
      </c>
      <c r="I312" s="700"/>
      <c r="J312" s="701">
        <f>IF(J316&gt;H316,1,0)</f>
        <v>0</v>
      </c>
      <c r="K312" s="702"/>
      <c r="L312" s="703"/>
      <c r="M312" s="703"/>
      <c r="N312" s="704"/>
      <c r="S312" s="663"/>
      <c r="T312" s="663"/>
      <c r="U312" s="684"/>
      <c r="V312" s="684"/>
      <c r="W312" s="685"/>
      <c r="X312" s="699">
        <f>IF(X316&gt;Z316,1,0)</f>
        <v>0</v>
      </c>
      <c r="Y312" s="700"/>
      <c r="Z312" s="701">
        <f>IF(Z316&gt;X316,1,0)</f>
        <v>0</v>
      </c>
      <c r="AA312" s="699">
        <f>IF(AA316&gt;AC316,1,0)</f>
        <v>0</v>
      </c>
      <c r="AB312" s="700"/>
      <c r="AC312" s="701">
        <f>IF(AC316&gt;AA316,1,0)</f>
        <v>0</v>
      </c>
      <c r="AD312" s="699">
        <f>IF(AD316&gt;AF316,1,0)</f>
        <v>0</v>
      </c>
      <c r="AE312" s="700"/>
      <c r="AF312" s="701">
        <f>IF(AF316&gt;AD316,1,0)</f>
        <v>0</v>
      </c>
      <c r="AG312" s="705"/>
      <c r="AH312" s="706"/>
      <c r="AI312" s="663"/>
      <c r="AJ312" s="663"/>
      <c r="AK312" s="663"/>
      <c r="AW312" s="166"/>
      <c r="AX312" s="115"/>
      <c r="AY312" s="115"/>
      <c r="AZ312" s="115"/>
      <c r="BA312" s="115"/>
    </row>
    <row r="313" spans="1:80" ht="13.5" hidden="1" customHeight="1" thickBot="1">
      <c r="A313" s="534"/>
      <c r="B313" s="699">
        <f>SUM(B310:B312)</f>
        <v>0</v>
      </c>
      <c r="C313" s="700"/>
      <c r="D313" s="699">
        <f>SUM(D310:D312)</f>
        <v>0</v>
      </c>
      <c r="E313" s="699">
        <f>SUM(E310:E312)</f>
        <v>0</v>
      </c>
      <c r="F313" s="700"/>
      <c r="G313" s="699">
        <f>SUM(G310:G312)</f>
        <v>0</v>
      </c>
      <c r="H313" s="699">
        <f>SUM(H310:H312)</f>
        <v>0</v>
      </c>
      <c r="I313" s="700"/>
      <c r="J313" s="699">
        <f>SUM(J310:J312)</f>
        <v>0</v>
      </c>
      <c r="K313" s="702"/>
      <c r="L313" s="703"/>
      <c r="M313" s="703"/>
      <c r="N313" s="704"/>
      <c r="S313" s="663"/>
      <c r="T313" s="663"/>
      <c r="U313" s="684"/>
      <c r="V313" s="684"/>
      <c r="W313" s="685"/>
      <c r="X313" s="699">
        <f>SUM(X310:X312)</f>
        <v>0</v>
      </c>
      <c r="Y313" s="700"/>
      <c r="Z313" s="699">
        <f>SUM(Z310:Z312)</f>
        <v>0</v>
      </c>
      <c r="AA313" s="699">
        <f>SUM(AA310:AA312)</f>
        <v>0</v>
      </c>
      <c r="AB313" s="700"/>
      <c r="AC313" s="699">
        <f>SUM(AC310:AC312)</f>
        <v>0</v>
      </c>
      <c r="AD313" s="699">
        <f>SUM(AD310:AD312)</f>
        <v>0</v>
      </c>
      <c r="AE313" s="700"/>
      <c r="AF313" s="699">
        <f>SUM(AF310:AF312)</f>
        <v>0</v>
      </c>
      <c r="AG313" s="705"/>
      <c r="AH313" s="706"/>
      <c r="AI313" s="663"/>
      <c r="AJ313" s="663"/>
      <c r="AK313" s="663"/>
      <c r="AW313" s="166"/>
      <c r="AX313" s="115"/>
      <c r="AY313" s="115"/>
      <c r="AZ313" s="115"/>
      <c r="BA313" s="115"/>
    </row>
    <row r="314" spans="1:80" ht="12.75" customHeight="1">
      <c r="A314" s="131" t="s">
        <v>36</v>
      </c>
      <c r="B314" s="707"/>
      <c r="C314" s="113" t="s">
        <v>37</v>
      </c>
      <c r="D314" s="708"/>
      <c r="E314" s="709"/>
      <c r="F314" s="113" t="s">
        <v>37</v>
      </c>
      <c r="G314" s="708"/>
      <c r="H314" s="709"/>
      <c r="I314" s="113" t="s">
        <v>37</v>
      </c>
      <c r="J314" s="710"/>
      <c r="K314" s="711" t="str">
        <f>IF(AND(OR(H313&gt;0,J313&gt;0),AND(1&lt;=H309,H309&lt;=4),AND(1&lt;=J309,J309&lt;=4)),IF(H313&gt;J313,H309,IF(J313&gt;H313,J309,"")),"")</f>
        <v/>
      </c>
      <c r="L314" s="712"/>
      <c r="M314" s="712"/>
      <c r="N314" s="713"/>
      <c r="S314" s="663"/>
      <c r="T314" s="663"/>
      <c r="U314" s="714"/>
      <c r="V314" s="714"/>
      <c r="W314" s="131" t="s">
        <v>36</v>
      </c>
      <c r="X314" s="707"/>
      <c r="Y314" s="113" t="s">
        <v>37</v>
      </c>
      <c r="Z314" s="708"/>
      <c r="AA314" s="709"/>
      <c r="AB314" s="113" t="s">
        <v>37</v>
      </c>
      <c r="AC314" s="708"/>
      <c r="AD314" s="709"/>
      <c r="AE314" s="113" t="s">
        <v>37</v>
      </c>
      <c r="AF314" s="710"/>
      <c r="AG314" s="711" t="str">
        <f>IF(AND(OR(AD313&gt;0,AF313&gt;0),AND(1&lt;=AD309,AD309&lt;=4),AND(1&lt;=AF309,AF309&lt;=4)),IF(AD313&gt;AF313,AD309,IF(AF313&gt;AD313,AF309,"")),"")</f>
        <v/>
      </c>
      <c r="AH314" s="713"/>
      <c r="AI314" s="663"/>
      <c r="AJ314" s="663"/>
      <c r="AK314" s="663"/>
      <c r="AW314" s="166"/>
      <c r="AX314" s="115"/>
      <c r="AY314" s="115"/>
      <c r="AZ314" s="115"/>
      <c r="BA314" s="115"/>
    </row>
    <row r="315" spans="1:80" ht="12.75" customHeight="1">
      <c r="A315" s="131" t="s">
        <v>49</v>
      </c>
      <c r="B315" s="707"/>
      <c r="C315" s="113" t="s">
        <v>37</v>
      </c>
      <c r="D315" s="708"/>
      <c r="E315" s="709"/>
      <c r="F315" s="113" t="s">
        <v>37</v>
      </c>
      <c r="G315" s="708"/>
      <c r="H315" s="709"/>
      <c r="I315" s="113" t="s">
        <v>37</v>
      </c>
      <c r="J315" s="710"/>
      <c r="K315" s="715"/>
      <c r="L315" s="716"/>
      <c r="M315" s="716"/>
      <c r="N315" s="717"/>
      <c r="S315" s="663"/>
      <c r="T315" s="663"/>
      <c r="U315" s="714"/>
      <c r="V315" s="714"/>
      <c r="W315" s="131" t="s">
        <v>49</v>
      </c>
      <c r="X315" s="707"/>
      <c r="Y315" s="113" t="s">
        <v>37</v>
      </c>
      <c r="Z315" s="708"/>
      <c r="AA315" s="709"/>
      <c r="AB315" s="113" t="s">
        <v>37</v>
      </c>
      <c r="AC315" s="708"/>
      <c r="AD315" s="709"/>
      <c r="AE315" s="113" t="s">
        <v>37</v>
      </c>
      <c r="AF315" s="710"/>
      <c r="AG315" s="715"/>
      <c r="AH315" s="717"/>
      <c r="AI315" s="663"/>
      <c r="AJ315" s="663"/>
      <c r="AK315" s="663"/>
      <c r="AW315" s="166"/>
      <c r="AX315" s="115"/>
      <c r="AY315" s="115"/>
      <c r="AZ315" s="115"/>
      <c r="BA315" s="115"/>
    </row>
    <row r="316" spans="1:80" ht="13.5" customHeight="1" thickBot="1">
      <c r="A316" s="131" t="s">
        <v>1244</v>
      </c>
      <c r="B316" s="718"/>
      <c r="C316" s="719" t="s">
        <v>37</v>
      </c>
      <c r="D316" s="720"/>
      <c r="E316" s="721"/>
      <c r="F316" s="719" t="s">
        <v>37</v>
      </c>
      <c r="G316" s="720"/>
      <c r="H316" s="721"/>
      <c r="I316" s="719" t="s">
        <v>37</v>
      </c>
      <c r="J316" s="722"/>
      <c r="K316" s="723"/>
      <c r="L316" s="724"/>
      <c r="M316" s="724"/>
      <c r="N316" s="725"/>
      <c r="S316" s="663"/>
      <c r="T316" s="663"/>
      <c r="U316" s="714"/>
      <c r="V316" s="714"/>
      <c r="W316" s="131" t="s">
        <v>1244</v>
      </c>
      <c r="X316" s="718"/>
      <c r="Y316" s="719" t="s">
        <v>37</v>
      </c>
      <c r="Z316" s="720"/>
      <c r="AA316" s="721"/>
      <c r="AB316" s="719" t="s">
        <v>37</v>
      </c>
      <c r="AC316" s="720"/>
      <c r="AD316" s="721"/>
      <c r="AE316" s="719" t="s">
        <v>37</v>
      </c>
      <c r="AF316" s="722"/>
      <c r="AG316" s="723"/>
      <c r="AH316" s="725"/>
      <c r="AI316" s="663"/>
      <c r="AJ316" s="663"/>
      <c r="AK316" s="663"/>
      <c r="AW316" s="166"/>
      <c r="AX316" s="115"/>
      <c r="AY316" s="115"/>
      <c r="AZ316" s="115"/>
      <c r="BA316" s="115"/>
    </row>
    <row r="317" spans="1:80" hidden="1">
      <c r="B317" s="46"/>
      <c r="C317" s="726" t="s">
        <v>223</v>
      </c>
      <c r="D317" s="46" t="s">
        <v>1245</v>
      </c>
      <c r="E317" s="46"/>
      <c r="F317" s="726"/>
      <c r="G317" s="3" t="s">
        <v>1246</v>
      </c>
      <c r="J317" s="3" t="s">
        <v>1247</v>
      </c>
      <c r="X317" s="46"/>
      <c r="Y317" s="726" t="s">
        <v>223</v>
      </c>
      <c r="Z317" s="46" t="s">
        <v>1245</v>
      </c>
      <c r="AA317" s="46"/>
      <c r="AB317" s="726"/>
      <c r="AC317" s="3" t="s">
        <v>1246</v>
      </c>
      <c r="AF317" s="3" t="s">
        <v>1247</v>
      </c>
      <c r="AT317" s="3" t="str">
        <f>B318</f>
        <v>1st Place Court 1</v>
      </c>
      <c r="AU317" s="3" t="e">
        <f>J318</f>
        <v>#N/A</v>
      </c>
      <c r="AW317" s="166"/>
      <c r="AX317" s="115"/>
      <c r="AY317" s="115"/>
      <c r="AZ317" s="115"/>
      <c r="BA317" s="115"/>
      <c r="BB317" s="166"/>
      <c r="BC317" s="115"/>
      <c r="BD317" s="115"/>
      <c r="BE317" s="166"/>
      <c r="BF317" s="115"/>
      <c r="BG317" s="115"/>
      <c r="BH317" s="166"/>
      <c r="BI317" s="115"/>
      <c r="BJ317" s="115"/>
      <c r="BK317" s="166"/>
      <c r="BL317" s="115"/>
      <c r="BM317" s="115"/>
      <c r="BN317" s="166"/>
      <c r="BO317" s="115"/>
      <c r="BP317" s="115"/>
      <c r="BQ317" s="166"/>
      <c r="BR317" s="115"/>
      <c r="BS317" s="115"/>
      <c r="BT317" s="166"/>
      <c r="BU317" s="115"/>
      <c r="BV317" s="115"/>
      <c r="BW317" s="166"/>
      <c r="BX317" s="115"/>
      <c r="BY317" s="115"/>
      <c r="BZ317" s="166"/>
      <c r="CA317" s="115"/>
      <c r="CB317" s="115"/>
    </row>
    <row r="318" spans="1:80" hidden="1">
      <c r="A318" s="3">
        <v>1</v>
      </c>
      <c r="B318" s="3" t="str">
        <f>B301</f>
        <v>1st Place Court 1</v>
      </c>
      <c r="C318" s="3" t="e">
        <f>VLOOKUP(B318,AU$2:AY$22,4,FALSE)</f>
        <v>#N/A</v>
      </c>
      <c r="D318" s="3" t="e">
        <f>IF(A318=B309,B324,IF(A318=D309,D324,C318))</f>
        <v>#N/A</v>
      </c>
      <c r="G318" s="3" t="e">
        <f>IF(A318=E309,E324,IF(A318=G309,G324,D318))</f>
        <v>#N/A</v>
      </c>
      <c r="J318" s="3" t="e">
        <f>IF(A318=H309,H324,IF(A318=J309,J324,G318))</f>
        <v>#N/A</v>
      </c>
      <c r="V318" s="727"/>
      <c r="W318" s="727">
        <v>1</v>
      </c>
      <c r="X318" s="3" t="str">
        <f>Y301</f>
        <v>2nd Place Court 1</v>
      </c>
      <c r="Y318" s="3" t="e">
        <f>VLOOKUP(X318,AU$2:AY$22,4,FALSE)</f>
        <v>#N/A</v>
      </c>
      <c r="Z318" s="3" t="e">
        <f>IF(W318=X309,X324,IF(W318=Z309,Z324,Y318))</f>
        <v>#N/A</v>
      </c>
      <c r="AC318" s="3" t="e">
        <f>IF(W318=AA309,AA324,IF(W318=AC309,AC324,Z318))</f>
        <v>#N/A</v>
      </c>
      <c r="AF318" s="3" t="e">
        <f>IF(W318=AD309,AD324,IF(W318=AF309,AF324,AC318))</f>
        <v>#N/A</v>
      </c>
      <c r="AT318" s="3" t="str">
        <f>B319</f>
        <v>1st Place Court 2</v>
      </c>
      <c r="AU318" s="3" t="e">
        <f>J319</f>
        <v>#N/A</v>
      </c>
      <c r="AW318" s="166"/>
      <c r="AX318" s="115"/>
      <c r="AY318" s="115"/>
      <c r="AZ318" s="115"/>
      <c r="BA318" s="115"/>
      <c r="BB318" s="166"/>
      <c r="BC318" s="115"/>
      <c r="BD318" s="115"/>
      <c r="BE318" s="166"/>
      <c r="BF318" s="115"/>
      <c r="BG318" s="115"/>
      <c r="BH318" s="166"/>
      <c r="BI318" s="115"/>
      <c r="BJ318" s="115"/>
      <c r="BK318" s="166"/>
      <c r="BL318" s="115"/>
      <c r="BM318" s="115"/>
      <c r="BN318" s="166"/>
      <c r="BO318" s="115"/>
      <c r="BP318" s="115"/>
      <c r="BQ318" s="166"/>
      <c r="BR318" s="115"/>
      <c r="BS318" s="115"/>
      <c r="BT318" s="166"/>
      <c r="BU318" s="115"/>
      <c r="BV318" s="115"/>
      <c r="BW318" s="166"/>
      <c r="BX318" s="115"/>
      <c r="BY318" s="115"/>
      <c r="BZ318" s="166"/>
      <c r="CA318" s="115"/>
      <c r="CB318" s="115"/>
    </row>
    <row r="319" spans="1:80" hidden="1">
      <c r="A319" s="3">
        <v>2</v>
      </c>
      <c r="B319" s="3" t="str">
        <f>B302</f>
        <v>1st Place Court 2</v>
      </c>
      <c r="C319" s="3" t="e">
        <f>VLOOKUP(B319,AU$2:AY$22,4,FALSE)</f>
        <v>#N/A</v>
      </c>
      <c r="D319" s="3" t="e">
        <f>IF(A319=B309,B324,IF(A319=D309,D324,C319))</f>
        <v>#N/A</v>
      </c>
      <c r="G319" s="3" t="e">
        <f>IF(A319=E309,E324,IF(A319=G309,G324,D319))</f>
        <v>#N/A</v>
      </c>
      <c r="J319" s="3" t="e">
        <f>IF(A319=H309,H324,IF(A319=J309,J324,G319))</f>
        <v>#N/A</v>
      </c>
      <c r="V319" s="727"/>
      <c r="W319" s="727">
        <v>2</v>
      </c>
      <c r="X319" s="3" t="str">
        <f>Y302</f>
        <v>2nd Place Court 2</v>
      </c>
      <c r="Y319" s="3" t="e">
        <f>VLOOKUP(X319,AU$2:AY$22,4,FALSE)</f>
        <v>#N/A</v>
      </c>
      <c r="Z319" s="3" t="e">
        <f>IF(W319=X309,X324,IF(W319=Z309,Z324,Y319))</f>
        <v>#N/A</v>
      </c>
      <c r="AC319" s="3" t="e">
        <f>IF(W319=AA309,AA324,IF(W319=AC309,AC324,Z319))</f>
        <v>#N/A</v>
      </c>
      <c r="AF319" s="3" t="e">
        <f>IF(W319=AD309,AD324,IF(W319=AF309,AF324,AC319))</f>
        <v>#N/A</v>
      </c>
      <c r="AT319" s="3" t="str">
        <f>B320</f>
        <v>SC Midlands KP Silver</v>
      </c>
      <c r="AU319" s="3">
        <f>J320</f>
        <v>1207.4161667092396</v>
      </c>
      <c r="AW319" s="166"/>
      <c r="AX319" s="115"/>
      <c r="AY319" s="115"/>
      <c r="AZ319" s="115"/>
      <c r="BA319" s="115"/>
      <c r="BB319" s="166"/>
      <c r="BC319" s="115"/>
      <c r="BD319" s="115"/>
      <c r="BE319" s="166"/>
      <c r="BF319" s="115"/>
      <c r="BG319" s="115"/>
      <c r="BH319" s="166"/>
      <c r="BI319" s="115"/>
      <c r="BJ319" s="115"/>
      <c r="BK319" s="166"/>
      <c r="BL319" s="115"/>
      <c r="BM319" s="115"/>
      <c r="BN319" s="166"/>
      <c r="BO319" s="115"/>
      <c r="BP319" s="115"/>
      <c r="BQ319" s="166"/>
      <c r="BR319" s="115"/>
      <c r="BS319" s="115"/>
      <c r="BT319" s="166"/>
      <c r="BU319" s="115"/>
      <c r="BV319" s="115"/>
      <c r="BW319" s="166"/>
      <c r="BX319" s="115"/>
      <c r="BY319" s="115"/>
      <c r="BZ319" s="166"/>
      <c r="CA319" s="115"/>
      <c r="CB319" s="115"/>
    </row>
    <row r="320" spans="1:80" hidden="1">
      <c r="A320" s="3">
        <v>3</v>
      </c>
      <c r="B320" s="3" t="str">
        <f>B303</f>
        <v>SC Midlands KP Silver</v>
      </c>
      <c r="C320" s="3">
        <f>VLOOKUP(B320,AU$2:AY$22,4,FALSE)</f>
        <v>1207.4161667092396</v>
      </c>
      <c r="D320" s="3">
        <f>IF(A320=B309,B324,IF(A320=D309,D324,C320))</f>
        <v>1207.4161667092396</v>
      </c>
      <c r="G320" s="3">
        <f>IF(A320=E309,E324,IF(A320=G309,G324,D320))</f>
        <v>1207.4161667092396</v>
      </c>
      <c r="J320" s="3">
        <f>IF(A320=H309,H324,IF(A320=J309,J324,G320))</f>
        <v>1207.4161667092396</v>
      </c>
      <c r="V320" s="727"/>
      <c r="W320" s="727">
        <v>3</v>
      </c>
      <c r="X320" s="3" t="str">
        <f>Y303</f>
        <v>3rd Place Court 1</v>
      </c>
      <c r="Y320" s="3" t="e">
        <f>VLOOKUP(X320,AU$2:AY$22,4,FALSE)</f>
        <v>#N/A</v>
      </c>
      <c r="Z320" s="3" t="e">
        <f>IF(W320=X309,X324,IF(W320=Z309,Z324,Y320))</f>
        <v>#N/A</v>
      </c>
      <c r="AC320" s="3" t="e">
        <f>IF(W320=AA309,AA324,IF(W320=AC309,AC324,Z320))</f>
        <v>#N/A</v>
      </c>
      <c r="AF320" s="3" t="e">
        <f>IF(W320=AD309,AD324,IF(W320=AF309,AF324,AC320))</f>
        <v>#N/A</v>
      </c>
      <c r="AT320" s="3" t="str">
        <f>B321</f>
        <v>SC Midlands KP Black</v>
      </c>
      <c r="AU320" s="3">
        <f>J321</f>
        <v>1202.6504789498138</v>
      </c>
      <c r="AW320" s="166"/>
      <c r="AX320" s="115"/>
      <c r="AY320" s="115"/>
      <c r="AZ320" s="115"/>
      <c r="BA320" s="115"/>
      <c r="BB320" s="166"/>
      <c r="BC320" s="115"/>
      <c r="BD320" s="115"/>
      <c r="BE320" s="166"/>
      <c r="BF320" s="115"/>
      <c r="BG320" s="115"/>
      <c r="BH320" s="166"/>
      <c r="BI320" s="115"/>
      <c r="BJ320" s="115"/>
      <c r="BK320" s="166"/>
      <c r="BL320" s="115"/>
      <c r="BM320" s="115"/>
      <c r="BN320" s="166"/>
      <c r="BO320" s="115"/>
      <c r="BP320" s="115"/>
      <c r="BQ320" s="166"/>
      <c r="BR320" s="115"/>
      <c r="BS320" s="115"/>
      <c r="BT320" s="166"/>
      <c r="BU320" s="115"/>
      <c r="BV320" s="115"/>
      <c r="BW320" s="166"/>
      <c r="BX320" s="115"/>
      <c r="BY320" s="115"/>
      <c r="BZ320" s="166"/>
      <c r="CA320" s="115"/>
      <c r="CB320" s="115"/>
    </row>
    <row r="321" spans="1:80" hidden="1">
      <c r="A321" s="3">
        <v>4</v>
      </c>
      <c r="B321" s="3" t="str">
        <f>B304</f>
        <v>SC Midlands KP Black</v>
      </c>
      <c r="C321" s="3">
        <f>VLOOKUP(B321,AU$2:AY$22,4,FALSE)</f>
        <v>1202.6504789498138</v>
      </c>
      <c r="D321" s="3">
        <f>IF(A321=B309,B324,IF(A321=D309,D324,C321))</f>
        <v>1202.6504789498138</v>
      </c>
      <c r="G321" s="3">
        <f>IF(A321=E309,E324,IF(A321=G309,G324,D321))</f>
        <v>1202.6504789498138</v>
      </c>
      <c r="J321" s="3">
        <f>IF(A321=H309,H324,IF(A321=J309,J324,G321))</f>
        <v>1202.6504789498138</v>
      </c>
      <c r="V321" s="727"/>
      <c r="W321" s="727">
        <v>4</v>
      </c>
      <c r="X321" s="3" t="str">
        <f>Y304</f>
        <v>3rd Place Court 2</v>
      </c>
      <c r="Y321" s="3" t="e">
        <f>VLOOKUP(X321,AU$2:AY$22,4,FALSE)</f>
        <v>#N/A</v>
      </c>
      <c r="Z321" s="3" t="e">
        <f>IF(W321=X309,X324,IF(W321=Z309,Z324,Y321))</f>
        <v>#N/A</v>
      </c>
      <c r="AC321" s="3" t="e">
        <f>IF(W321=AA309,AA324,IF(W321=AC309,AC324,Z321))</f>
        <v>#N/A</v>
      </c>
      <c r="AF321" s="3" t="e">
        <f>IF(W321=AD309,AD324,IF(W321=AF309,AF324,AC321))</f>
        <v>#N/A</v>
      </c>
      <c r="AT321" s="3" t="str">
        <f>X318</f>
        <v>2nd Place Court 1</v>
      </c>
      <c r="AU321" s="3" t="e">
        <f>AF318</f>
        <v>#N/A</v>
      </c>
      <c r="AW321" s="166"/>
      <c r="AX321" s="115"/>
      <c r="AY321" s="115"/>
      <c r="AZ321" s="115"/>
      <c r="BA321" s="115"/>
      <c r="BB321" s="166"/>
      <c r="BC321" s="115"/>
      <c r="BD321" s="115"/>
      <c r="BE321" s="166"/>
      <c r="BF321" s="115"/>
      <c r="BG321" s="115"/>
      <c r="BH321" s="166"/>
      <c r="BI321" s="115"/>
      <c r="BJ321" s="115"/>
      <c r="BK321" s="166"/>
      <c r="BL321" s="115"/>
      <c r="BM321" s="115"/>
      <c r="BN321" s="166"/>
      <c r="BO321" s="115"/>
      <c r="BP321" s="115"/>
      <c r="BQ321" s="166"/>
      <c r="BR321" s="115"/>
      <c r="BS321" s="115"/>
      <c r="BT321" s="166"/>
      <c r="BU321" s="115"/>
      <c r="BV321" s="115"/>
      <c r="BW321" s="166"/>
      <c r="BX321" s="115"/>
      <c r="BY321" s="115"/>
      <c r="BZ321" s="166"/>
      <c r="CA321" s="115"/>
      <c r="CB321" s="115"/>
    </row>
    <row r="322" spans="1:80" hidden="1">
      <c r="A322" s="3" t="s">
        <v>225</v>
      </c>
      <c r="B322" s="3" t="e">
        <f>VLOOKUP(B309,$A318:$J321,3,FALSE)</f>
        <v>#N/A</v>
      </c>
      <c r="D322" s="3">
        <f>VLOOKUP(D309,$A318:$J321,3,FALSE)</f>
        <v>1202.6504789498138</v>
      </c>
      <c r="E322" s="3" t="e">
        <f>VLOOKUP(E309,$A318:$J321,4,FALSE)</f>
        <v>#N/A</v>
      </c>
      <c r="G322" s="3">
        <f>VLOOKUP(G309,$A318:$J321,4,FALSE)</f>
        <v>1207.4161667092396</v>
      </c>
      <c r="H322" s="3" t="e">
        <f>VLOOKUP(H309,$A318:$J321,7,FALSE)</f>
        <v>#N/A</v>
      </c>
      <c r="J322" s="3" t="e">
        <f>VLOOKUP(J309,$A318:$J321,7,FALSE)</f>
        <v>#N/A</v>
      </c>
      <c r="U322" s="728" t="s">
        <v>225</v>
      </c>
      <c r="V322" s="728"/>
      <c r="W322" s="728"/>
      <c r="X322" s="3" t="e">
        <f>VLOOKUP(X309,$W318:$AF321,3,FALSE)</f>
        <v>#N/A</v>
      </c>
      <c r="Z322" s="3" t="e">
        <f>VLOOKUP(Z309,$W318:$AF321,3,FALSE)</f>
        <v>#N/A</v>
      </c>
      <c r="AA322" s="3" t="e">
        <f>VLOOKUP(AA309,$W318:$AF321,4,FALSE)</f>
        <v>#N/A</v>
      </c>
      <c r="AC322" s="3" t="e">
        <f>VLOOKUP(AC309,$W318:$AF321,4,FALSE)</f>
        <v>#N/A</v>
      </c>
      <c r="AD322" s="3" t="e">
        <f>VLOOKUP(AD309,$W318:$AF321,7,FALSE)</f>
        <v>#N/A</v>
      </c>
      <c r="AF322" s="3" t="e">
        <f>VLOOKUP(AF309,$W318:$AF321,7,FALSE)</f>
        <v>#N/A</v>
      </c>
      <c r="AT322" s="3" t="str">
        <f>X319</f>
        <v>2nd Place Court 2</v>
      </c>
      <c r="AU322" s="3" t="e">
        <f>AF319</f>
        <v>#N/A</v>
      </c>
      <c r="AW322" s="166"/>
      <c r="AX322" s="115"/>
      <c r="AY322" s="115"/>
      <c r="AZ322" s="115"/>
      <c r="BA322" s="115"/>
      <c r="BB322" s="166"/>
      <c r="BC322" s="115"/>
      <c r="BD322" s="115"/>
      <c r="BE322" s="166"/>
      <c r="BF322" s="115"/>
      <c r="BG322" s="115"/>
      <c r="BH322" s="166"/>
      <c r="BI322" s="115"/>
      <c r="BJ322" s="115"/>
      <c r="BK322" s="166"/>
      <c r="BL322" s="115"/>
      <c r="BM322" s="115"/>
      <c r="BN322" s="166"/>
      <c r="BO322" s="115"/>
      <c r="BP322" s="115"/>
      <c r="BQ322" s="166"/>
      <c r="BR322" s="115"/>
      <c r="BS322" s="115"/>
      <c r="BT322" s="166"/>
      <c r="BU322" s="115"/>
      <c r="BV322" s="115"/>
      <c r="BW322" s="166"/>
      <c r="BX322" s="115"/>
      <c r="BY322" s="115"/>
      <c r="BZ322" s="166"/>
      <c r="CA322" s="115"/>
      <c r="CB322" s="115"/>
    </row>
    <row r="323" spans="1:80" hidden="1">
      <c r="A323" s="173" t="s">
        <v>226</v>
      </c>
      <c r="B323" s="173">
        <f>IF(OR(B313&gt;0,D313&gt;0),1/(1+(10^-((B322-D322)/400)))*(B313+D313),0)</f>
        <v>0</v>
      </c>
      <c r="C323" s="173"/>
      <c r="D323" s="173" t="b">
        <f>IF(OR(B313&gt;0,D313&gt;0),1/(1+(10^-((D322-B322)/400)))*(B313+D313))</f>
        <v>0</v>
      </c>
      <c r="E323" s="173">
        <f>IF(OR(E313&gt;0,G313&gt;0),1/(1+(10^-((E322-G322)/400)))*(E313+G313),0)</f>
        <v>0</v>
      </c>
      <c r="F323" s="173"/>
      <c r="G323" s="173" t="b">
        <f>IF(OR(E313&gt;0,G313&gt;0),1/(1+(10^-((G322-E322)/400)))*(E313+G313))</f>
        <v>0</v>
      </c>
      <c r="H323" s="173">
        <f>IF(OR(H313&gt;0,J313&gt;0),1/(1+(10^-((H322-J322)/400)))*(H313+J313),0)</f>
        <v>0</v>
      </c>
      <c r="I323" s="173"/>
      <c r="J323" s="173" t="b">
        <f>IF(OR(H313&gt;0,J313&gt;0),1/(1+(10^-((J322-H322)/400)))*(H313+J313))</f>
        <v>0</v>
      </c>
      <c r="K323" s="173"/>
      <c r="U323" s="729" t="s">
        <v>226</v>
      </c>
      <c r="V323" s="729"/>
      <c r="W323" s="729"/>
      <c r="X323" s="173">
        <f>IF(OR(X313&gt;0,Z313&gt;0),1/(1+(10^-((X322-Z322)/400)))*(X313+Z313),0)</f>
        <v>0</v>
      </c>
      <c r="Y323" s="173"/>
      <c r="Z323" s="173" t="b">
        <f>IF(OR(X313&gt;0,Z313&gt;0),1/(1+(10^-((Z322-X322)/400)))*(X313+Z313))</f>
        <v>0</v>
      </c>
      <c r="AA323" s="173">
        <f>IF(OR(AA313&gt;0,AC313&gt;0),1/(1+(10^-((AA322-AC322)/400)))*(AA313+AC313),0)</f>
        <v>0</v>
      </c>
      <c r="AB323" s="173"/>
      <c r="AC323" s="173" t="b">
        <f>IF(OR(AA313&gt;0,AC313&gt;0),1/(1+(10^-((AC322-AA322)/400)))*(AA313+AC313))</f>
        <v>0</v>
      </c>
      <c r="AD323" s="173">
        <f>IF(OR(AD313&gt;0,AF313&gt;0),1/(1+(10^-((AD322-AF322)/400)))*(AD313+AF313),0)</f>
        <v>0</v>
      </c>
      <c r="AE323" s="173"/>
      <c r="AF323" s="173" t="b">
        <f>IF(OR(AD313&gt;0,AF313&gt;0),1/(1+(10^-((AF322-AD322)/400)))*(AD313+AF313))</f>
        <v>0</v>
      </c>
      <c r="AT323" s="3" t="str">
        <f>X320</f>
        <v>3rd Place Court 1</v>
      </c>
      <c r="AU323" s="3" t="e">
        <f>AF320</f>
        <v>#N/A</v>
      </c>
      <c r="AW323" s="166"/>
      <c r="AX323" s="115"/>
      <c r="AY323" s="115"/>
      <c r="AZ323" s="115"/>
      <c r="BA323" s="115"/>
      <c r="BB323" s="166"/>
      <c r="BC323" s="115"/>
      <c r="BD323" s="115"/>
      <c r="BE323" s="166"/>
      <c r="BF323" s="115"/>
      <c r="BG323" s="115"/>
      <c r="BH323" s="166"/>
      <c r="BI323" s="115"/>
      <c r="BJ323" s="115"/>
      <c r="BK323" s="166"/>
      <c r="BL323" s="115"/>
      <c r="BM323" s="115"/>
      <c r="BN323" s="166"/>
      <c r="BO323" s="115"/>
      <c r="BP323" s="115"/>
      <c r="BQ323" s="166"/>
      <c r="BR323" s="115"/>
      <c r="BS323" s="115"/>
      <c r="BT323" s="166"/>
      <c r="BU323" s="115"/>
      <c r="BV323" s="115"/>
      <c r="BW323" s="166"/>
      <c r="BX323" s="115"/>
      <c r="BY323" s="115"/>
      <c r="BZ323" s="166"/>
      <c r="CA323" s="115"/>
      <c r="CB323" s="115"/>
    </row>
    <row r="324" spans="1:80" hidden="1">
      <c r="A324" s="179" t="s">
        <v>227</v>
      </c>
      <c r="B324" s="179" t="e">
        <f>B322+(B313-B323)*$BA$2</f>
        <v>#N/A</v>
      </c>
      <c r="C324" s="179"/>
      <c r="D324" s="179">
        <f>D322+(D313-D323)*$BA$2</f>
        <v>1202.6504789498138</v>
      </c>
      <c r="E324" s="179" t="e">
        <f>E322+(E313-E323)*$BA$2</f>
        <v>#N/A</v>
      </c>
      <c r="G324" s="179">
        <f>G322+(G313-G323)*$BA$2</f>
        <v>1207.4161667092396</v>
      </c>
      <c r="H324" s="179" t="e">
        <f>H322+(H313-H323)*$BA$2</f>
        <v>#N/A</v>
      </c>
      <c r="J324" s="179" t="e">
        <f>J322+(J313-J323)*$BA$2</f>
        <v>#N/A</v>
      </c>
      <c r="K324" s="179"/>
      <c r="U324" s="730" t="s">
        <v>227</v>
      </c>
      <c r="V324" s="730"/>
      <c r="W324" s="730"/>
      <c r="X324" s="179" t="e">
        <f>X322+(X313-X323)*$BA$2</f>
        <v>#N/A</v>
      </c>
      <c r="Y324" s="179"/>
      <c r="Z324" s="179" t="e">
        <f>Z322+(Z313-Z323)*$BA$2</f>
        <v>#N/A</v>
      </c>
      <c r="AA324" s="179" t="e">
        <f>AA322+(AA313-AA323)*$BA$2</f>
        <v>#N/A</v>
      </c>
      <c r="AC324" s="179" t="e">
        <f>AC322+(AC313-AC323)*$BA$2</f>
        <v>#N/A</v>
      </c>
      <c r="AD324" s="179" t="e">
        <f>AD322+(AD313-AD323)*$BA$2</f>
        <v>#N/A</v>
      </c>
      <c r="AF324" s="179" t="e">
        <f>AF322+(AF313-AF323)*$BA$2</f>
        <v>#N/A</v>
      </c>
      <c r="AT324" s="3" t="str">
        <f>X321</f>
        <v>3rd Place Court 2</v>
      </c>
      <c r="AU324" s="3" t="e">
        <f>AF321</f>
        <v>#N/A</v>
      </c>
      <c r="AW324" s="166"/>
      <c r="AX324" s="115"/>
      <c r="AY324" s="115"/>
      <c r="AZ324" s="115"/>
      <c r="BA324" s="115"/>
      <c r="BB324" s="166"/>
      <c r="BC324" s="115"/>
      <c r="BD324" s="115"/>
      <c r="BE324" s="166"/>
      <c r="BF324" s="115"/>
      <c r="BG324" s="115"/>
      <c r="BH324" s="166"/>
      <c r="BI324" s="115"/>
      <c r="BJ324" s="115"/>
      <c r="BK324" s="166"/>
      <c r="BL324" s="115"/>
      <c r="BM324" s="115"/>
      <c r="BN324" s="166"/>
      <c r="BO324" s="115"/>
      <c r="BP324" s="115"/>
      <c r="BQ324" s="166"/>
      <c r="BR324" s="115"/>
      <c r="BS324" s="115"/>
      <c r="BT324" s="166"/>
      <c r="BU324" s="115"/>
      <c r="BV324" s="115"/>
      <c r="BW324" s="166"/>
      <c r="BX324" s="115"/>
      <c r="BY324" s="115"/>
      <c r="BZ324" s="166"/>
      <c r="CA324" s="115"/>
      <c r="CB324" s="115"/>
    </row>
    <row r="325" spans="1:80">
      <c r="A325" s="731" t="s">
        <v>1248</v>
      </c>
      <c r="B325" s="731"/>
      <c r="C325" s="731"/>
      <c r="D325" s="731"/>
      <c r="E325" s="731"/>
      <c r="F325" s="731"/>
      <c r="G325" s="731"/>
      <c r="H325" s="731"/>
      <c r="I325" s="731"/>
      <c r="J325" s="731"/>
      <c r="K325" s="731"/>
      <c r="L325" s="731"/>
      <c r="M325" s="731"/>
      <c r="N325" s="731"/>
      <c r="S325" s="663"/>
      <c r="T325" s="663"/>
      <c r="U325" s="714"/>
      <c r="V325" s="714"/>
      <c r="W325" s="731" t="s">
        <v>1248</v>
      </c>
      <c r="X325" s="731"/>
      <c r="Y325" s="731"/>
      <c r="Z325" s="731"/>
      <c r="AA325" s="731"/>
      <c r="AB325" s="731"/>
      <c r="AC325" s="731"/>
      <c r="AD325" s="731"/>
      <c r="AE325" s="731"/>
      <c r="AF325" s="731"/>
      <c r="AG325" s="731"/>
      <c r="AH325" s="731"/>
      <c r="AI325" s="663"/>
      <c r="AJ325" s="663"/>
      <c r="AK325" s="663"/>
      <c r="AW325" s="166"/>
      <c r="AX325" s="115"/>
      <c r="AY325" s="115"/>
      <c r="AZ325" s="115"/>
      <c r="BA325" s="115"/>
    </row>
    <row r="326" spans="1:80">
      <c r="AS326" s="115"/>
      <c r="AT326" s="115"/>
      <c r="AU326" s="115"/>
      <c r="AW326" s="166"/>
      <c r="AX326" s="115"/>
      <c r="AY326" s="115"/>
      <c r="AZ326" s="115"/>
      <c r="BA326" s="115"/>
    </row>
    <row r="327" spans="1:80">
      <c r="A327" s="394" t="s">
        <v>1267</v>
      </c>
      <c r="B327" s="394"/>
      <c r="C327" s="394"/>
      <c r="D327" s="394"/>
      <c r="E327" s="394"/>
      <c r="F327" s="394"/>
      <c r="G327" s="394"/>
      <c r="H327" s="394"/>
      <c r="I327" s="394"/>
      <c r="J327" s="394"/>
      <c r="K327" s="394"/>
      <c r="L327" s="394"/>
      <c r="M327" s="394"/>
      <c r="N327" s="394"/>
      <c r="O327" s="394"/>
      <c r="P327" s="394"/>
      <c r="Q327" s="39"/>
      <c r="S327" s="732"/>
      <c r="T327" s="732"/>
      <c r="U327" s="732"/>
      <c r="AH327" s="663"/>
      <c r="AI327" s="663"/>
      <c r="AJ327" s="663"/>
      <c r="AK327" s="663"/>
      <c r="AL327" s="663"/>
      <c r="AM327" s="663"/>
      <c r="AS327" s="115"/>
      <c r="AT327" s="115"/>
      <c r="AU327" s="115"/>
      <c r="AW327" s="166"/>
      <c r="AX327" s="115"/>
      <c r="AY327" s="115"/>
      <c r="AZ327" s="115"/>
      <c r="BA327" s="115"/>
    </row>
    <row r="328" spans="1:80">
      <c r="S328" s="663"/>
      <c r="T328" s="663"/>
      <c r="U328" s="663"/>
      <c r="AH328" s="663"/>
      <c r="AI328" s="663"/>
      <c r="AJ328" s="663"/>
      <c r="AK328" s="663"/>
      <c r="AL328" s="663"/>
      <c r="AM328" s="663"/>
      <c r="AS328" s="115"/>
      <c r="AT328" s="115"/>
      <c r="AU328" s="115"/>
      <c r="AW328" s="166"/>
      <c r="AX328" s="115"/>
      <c r="AY328" s="115"/>
      <c r="AZ328" s="115"/>
      <c r="BA328" s="115"/>
    </row>
    <row r="329" spans="1:80" ht="13.5" thickBot="1">
      <c r="A329" s="604" t="str">
        <f>IF(B357=1,B349,IF(B357=2,B350,IF(B357=3,B351,IF(B357=4,B352,IF(OR(B357="B",B357="b"),"BYE","invalid")))))</f>
        <v>Foothills Skylar</v>
      </c>
      <c r="B329" s="604"/>
      <c r="C329" s="604"/>
      <c r="D329" s="604"/>
      <c r="E329" s="604"/>
      <c r="F329" s="31"/>
      <c r="G329" s="31"/>
      <c r="H329" s="31"/>
      <c r="I329" s="31"/>
      <c r="J329" s="31"/>
      <c r="K329" s="31"/>
      <c r="L329" s="31"/>
      <c r="M329" s="31"/>
      <c r="N329" s="31"/>
      <c r="O329" s="31"/>
      <c r="S329" s="663"/>
      <c r="T329" s="726"/>
      <c r="U329" s="726"/>
      <c r="AH329" s="663"/>
      <c r="AI329" s="663"/>
      <c r="AJ329" s="663"/>
      <c r="AK329" s="663"/>
      <c r="AL329" s="663"/>
      <c r="AM329" s="663"/>
      <c r="AS329" s="115"/>
      <c r="AT329" s="115"/>
      <c r="AU329" s="115"/>
      <c r="AW329" s="166"/>
      <c r="AX329" s="115"/>
      <c r="AY329" s="115"/>
      <c r="AZ329" s="115"/>
      <c r="BA329" s="115"/>
    </row>
    <row r="330" spans="1:80">
      <c r="A330" s="606" t="s">
        <v>1268</v>
      </c>
      <c r="B330" s="606"/>
      <c r="C330" s="606"/>
      <c r="D330" s="606"/>
      <c r="E330" s="606"/>
      <c r="F330" s="607"/>
      <c r="G330" s="31"/>
      <c r="H330" s="31"/>
      <c r="I330" s="31"/>
      <c r="J330" s="31"/>
      <c r="K330" s="31"/>
      <c r="L330" s="31"/>
      <c r="M330" s="31"/>
      <c r="N330" s="31"/>
      <c r="O330" s="31"/>
      <c r="S330" s="663"/>
      <c r="T330" s="733"/>
      <c r="U330" s="733"/>
      <c r="AH330" s="663"/>
      <c r="AI330" s="663"/>
      <c r="AJ330" s="663"/>
      <c r="AK330" s="663"/>
      <c r="AL330" s="663"/>
      <c r="AM330" s="663"/>
      <c r="AS330" s="115"/>
      <c r="AT330" s="115"/>
      <c r="AU330" s="115"/>
      <c r="AW330" s="166"/>
      <c r="AX330" s="115"/>
      <c r="AY330" s="115"/>
      <c r="AZ330" s="115"/>
      <c r="BA330" s="115"/>
    </row>
    <row r="331" spans="1:80">
      <c r="A331" s="31"/>
      <c r="B331" s="31"/>
      <c r="C331" s="31"/>
      <c r="D331" s="31"/>
      <c r="E331" s="31"/>
      <c r="F331" s="607"/>
      <c r="G331" s="31"/>
      <c r="H331" s="31"/>
      <c r="I331" s="31"/>
      <c r="J331" s="31"/>
      <c r="K331" s="31"/>
      <c r="L331" s="31"/>
      <c r="M331" s="31"/>
      <c r="N331" s="31"/>
      <c r="O331" s="31"/>
      <c r="S331" s="663"/>
      <c r="T331" s="663"/>
      <c r="U331" s="663"/>
      <c r="AH331" s="663"/>
      <c r="AI331" s="663"/>
      <c r="AJ331" s="663"/>
      <c r="AK331" s="663"/>
      <c r="AL331" s="663"/>
      <c r="AM331" s="663"/>
      <c r="AS331" s="115"/>
      <c r="AT331" s="115"/>
      <c r="AU331" s="115"/>
      <c r="AW331" s="166"/>
      <c r="AX331" s="115"/>
      <c r="AY331" s="115"/>
      <c r="AZ331" s="115"/>
      <c r="BA331" s="115"/>
    </row>
    <row r="332" spans="1:80" ht="13.5" thickBot="1">
      <c r="A332" s="738"/>
      <c r="B332" s="738"/>
      <c r="C332" s="738"/>
      <c r="D332" s="738"/>
      <c r="E332" s="622"/>
      <c r="F332" s="612" t="str">
        <f>IF(H357=1,B349,IF(H357=2,B350,IF(H357=3,B351,IF(H357=4,B352,"Winner Match 1"))))</f>
        <v>Foothills Skylar</v>
      </c>
      <c r="G332" s="613"/>
      <c r="H332" s="613"/>
      <c r="I332" s="613"/>
      <c r="J332" s="613"/>
      <c r="K332" s="613"/>
      <c r="L332" s="613"/>
      <c r="M332" s="613"/>
      <c r="N332" s="613"/>
      <c r="O332" s="31"/>
      <c r="Q332" s="614"/>
      <c r="R332" s="614"/>
      <c r="S332" s="732"/>
      <c r="T332" s="732"/>
      <c r="U332" s="732"/>
      <c r="AH332" s="714"/>
      <c r="AI332" s="714"/>
      <c r="AJ332" s="663"/>
      <c r="AK332" s="663"/>
      <c r="AL332" s="663"/>
      <c r="AM332" s="663"/>
      <c r="AS332" s="115"/>
      <c r="AT332" s="115"/>
      <c r="AU332" s="115"/>
    </row>
    <row r="333" spans="1:80">
      <c r="A333" s="616"/>
      <c r="B333" s="616"/>
      <c r="C333" s="616"/>
      <c r="D333" s="616"/>
      <c r="E333" s="616"/>
      <c r="F333" s="617"/>
      <c r="G333" s="618"/>
      <c r="H333" s="618"/>
      <c r="I333" s="619"/>
      <c r="J333" s="620"/>
      <c r="K333" s="621"/>
      <c r="L333" s="621"/>
      <c r="M333" s="621"/>
      <c r="N333" s="621"/>
      <c r="O333" s="31"/>
      <c r="P333" s="31"/>
      <c r="Q333" s="622"/>
      <c r="R333" s="132"/>
      <c r="S333" s="735"/>
      <c r="T333" s="735"/>
      <c r="U333" s="736"/>
      <c r="V333" s="736"/>
      <c r="W333" s="736"/>
      <c r="X333" s="736"/>
      <c r="Y333" s="736"/>
      <c r="Z333" s="736"/>
      <c r="AA333" s="736"/>
      <c r="AB333" s="663"/>
      <c r="AC333" s="732"/>
      <c r="AD333" s="732"/>
      <c r="AE333" s="732"/>
      <c r="AF333" s="732"/>
      <c r="AG333" s="732"/>
      <c r="AH333" s="732"/>
      <c r="AI333" s="732"/>
      <c r="AJ333" s="663"/>
      <c r="AK333" s="663"/>
      <c r="AL333" s="663"/>
      <c r="AM333" s="663"/>
      <c r="AS333" s="115"/>
      <c r="AT333" s="115"/>
      <c r="AU333" s="115"/>
      <c r="AW333" s="170"/>
      <c r="AX333" s="117"/>
      <c r="AY333" s="117"/>
      <c r="AZ333" s="117"/>
      <c r="BA333" s="117"/>
    </row>
    <row r="334" spans="1:80" ht="13.5" thickBot="1">
      <c r="A334" s="604" t="str">
        <f>IF(D357=1,B349,IF(D357=2,B350,IF(D357=3,B351,IF(D357=4,B352,IF(OR(D357="B",D357="b"),"BYE","invalid")))))</f>
        <v>BYE</v>
      </c>
      <c r="B334" s="604"/>
      <c r="C334" s="604"/>
      <c r="D334" s="604"/>
      <c r="E334" s="625"/>
      <c r="F334" s="607"/>
      <c r="G334" s="31"/>
      <c r="H334" s="31"/>
      <c r="I334" s="31"/>
      <c r="J334" s="607"/>
      <c r="K334" s="31"/>
      <c r="L334" s="31"/>
      <c r="M334" s="31"/>
      <c r="N334" s="31"/>
      <c r="O334" s="31"/>
      <c r="P334" s="31"/>
      <c r="Q334" s="31"/>
      <c r="S334" s="663"/>
      <c r="T334" s="663"/>
      <c r="U334" s="663"/>
      <c r="V334" s="714"/>
      <c r="W334" s="714"/>
      <c r="X334" s="714"/>
      <c r="Y334" s="714"/>
      <c r="Z334" s="714"/>
      <c r="AA334" s="714"/>
      <c r="AB334" s="714"/>
      <c r="AC334" s="663"/>
      <c r="AD334" s="663"/>
      <c r="AE334" s="663"/>
      <c r="AF334" s="663"/>
      <c r="AG334" s="663"/>
      <c r="AH334" s="663"/>
      <c r="AI334" s="663"/>
      <c r="AJ334" s="663"/>
      <c r="AK334" s="663"/>
      <c r="AL334" s="663"/>
      <c r="AM334" s="663"/>
      <c r="AS334" s="115"/>
      <c r="AT334" s="115"/>
      <c r="AU334" s="115"/>
      <c r="AW334" s="170"/>
      <c r="AX334" s="117"/>
      <c r="AY334" s="117"/>
      <c r="AZ334" s="117"/>
      <c r="BA334" s="117"/>
    </row>
    <row r="335" spans="1:80">
      <c r="A335" s="606"/>
      <c r="B335" s="606"/>
      <c r="C335" s="606"/>
      <c r="D335" s="606"/>
      <c r="E335" s="606"/>
      <c r="F335" s="31"/>
      <c r="G335" s="31"/>
      <c r="H335" s="31"/>
      <c r="I335" s="31"/>
      <c r="J335" s="607"/>
      <c r="K335" s="31"/>
      <c r="L335" s="31"/>
      <c r="M335" s="31"/>
      <c r="N335" s="31"/>
      <c r="O335" s="31"/>
      <c r="P335" s="31"/>
      <c r="Q335" s="31"/>
      <c r="S335" s="663"/>
      <c r="T335" s="663"/>
      <c r="U335" s="663"/>
      <c r="V335" s="734"/>
      <c r="W335" s="734"/>
      <c r="X335" s="734"/>
      <c r="Y335" s="734"/>
      <c r="Z335" s="734"/>
      <c r="AA335" s="734"/>
      <c r="AB335" s="734"/>
      <c r="AC335" s="663"/>
      <c r="AD335" s="663"/>
      <c r="AE335" s="663"/>
      <c r="AF335" s="663"/>
      <c r="AG335" s="663"/>
      <c r="AH335" s="663"/>
      <c r="AI335" s="663"/>
      <c r="AJ335" s="663"/>
      <c r="AK335" s="663"/>
      <c r="AL335" s="663"/>
      <c r="AM335" s="663"/>
      <c r="AR335" s="120"/>
      <c r="AS335" s="115"/>
      <c r="AT335" s="115"/>
      <c r="AU335" s="115"/>
      <c r="AV335" s="120"/>
      <c r="AW335" s="170"/>
      <c r="AX335" s="117"/>
      <c r="AY335" s="117"/>
      <c r="AZ335" s="117"/>
      <c r="BA335" s="117"/>
      <c r="BB335" s="120"/>
      <c r="BC335" s="120"/>
    </row>
    <row r="336" spans="1:80">
      <c r="A336" s="31"/>
      <c r="B336" s="31"/>
      <c r="C336" s="31"/>
      <c r="D336" s="31"/>
      <c r="E336" s="31"/>
      <c r="F336" s="615" t="s">
        <v>1222</v>
      </c>
      <c r="G336" s="615"/>
      <c r="H336" s="615"/>
      <c r="I336" s="626"/>
      <c r="J336" s="607"/>
      <c r="K336" s="31"/>
      <c r="L336" s="31"/>
      <c r="M336" s="31"/>
      <c r="N336" s="31"/>
      <c r="O336" s="31"/>
      <c r="P336" s="31"/>
      <c r="Q336" s="31"/>
      <c r="S336" s="663"/>
      <c r="T336" s="663"/>
      <c r="U336" s="663"/>
      <c r="V336" s="663"/>
      <c r="W336" s="663"/>
      <c r="X336" s="732"/>
      <c r="Y336" s="732"/>
      <c r="Z336" s="732"/>
      <c r="AA336" s="663"/>
      <c r="AB336" s="732"/>
      <c r="AC336" s="732"/>
      <c r="AD336" s="732"/>
      <c r="AE336" s="732"/>
      <c r="AF336" s="732"/>
      <c r="AG336" s="663"/>
      <c r="AH336" s="663"/>
      <c r="AI336" s="663"/>
      <c r="AJ336" s="663"/>
      <c r="AK336" s="663"/>
      <c r="AL336" s="663"/>
      <c r="AM336" s="663"/>
      <c r="AS336" s="115"/>
      <c r="AT336" s="115"/>
      <c r="AU336" s="115"/>
      <c r="AW336" s="170"/>
      <c r="AX336" s="117"/>
      <c r="AY336" s="117"/>
      <c r="AZ336" s="117"/>
      <c r="BA336" s="117"/>
    </row>
    <row r="337" spans="1:53" ht="13.5" thickBot="1">
      <c r="A337" s="31"/>
      <c r="B337" s="31"/>
      <c r="C337" s="31"/>
      <c r="D337" s="31"/>
      <c r="E337" s="31"/>
      <c r="F337" s="31"/>
      <c r="G337" s="31"/>
      <c r="H337" s="31"/>
      <c r="I337" s="31"/>
      <c r="J337" s="627" t="str">
        <f>IF(K362=1,B349,IF(K362=2,B350,IF(K362=3,B351,IF(K362=4,B352,"Division Winner"))))</f>
        <v>Division Winner</v>
      </c>
      <c r="K337" s="628"/>
      <c r="L337" s="628"/>
      <c r="M337" s="628"/>
      <c r="N337" s="628"/>
      <c r="O337" s="628"/>
      <c r="P337" s="628"/>
      <c r="Q337" s="628"/>
      <c r="R337" s="605"/>
      <c r="S337" s="663"/>
      <c r="T337" s="663"/>
      <c r="U337" s="663"/>
      <c r="V337" s="663"/>
      <c r="W337" s="663"/>
      <c r="X337" s="663"/>
      <c r="Y337" s="663"/>
      <c r="Z337" s="663"/>
      <c r="AA337" s="663"/>
      <c r="AB337" s="714"/>
      <c r="AC337" s="714"/>
      <c r="AD337" s="714"/>
      <c r="AE337" s="714"/>
      <c r="AF337" s="714"/>
      <c r="AG337" s="737"/>
      <c r="AH337" s="737"/>
      <c r="AI337" s="737"/>
      <c r="AJ337" s="737"/>
      <c r="AK337" s="737"/>
      <c r="AL337" s="714"/>
      <c r="AM337" s="663"/>
      <c r="AS337" s="115"/>
      <c r="AT337" s="115"/>
      <c r="AU337" s="115"/>
      <c r="AW337" s="170"/>
      <c r="AX337" s="117"/>
      <c r="AY337" s="117"/>
      <c r="AZ337" s="117"/>
      <c r="BA337" s="117"/>
    </row>
    <row r="338" spans="1:53" ht="13.5" thickBot="1">
      <c r="A338" s="604" t="str">
        <f>IF(E357=1,B349,IF(E357=2,B350,IF(E357=3,B351,IF(E357=4,B352,IF(OR(E357="B",E357="b"),"BYE","invalid")))))</f>
        <v>4th Place Court 1</v>
      </c>
      <c r="B338" s="604"/>
      <c r="C338" s="604"/>
      <c r="D338" s="604"/>
      <c r="E338" s="604"/>
      <c r="F338" s="616" t="s">
        <v>1269</v>
      </c>
      <c r="G338" s="616"/>
      <c r="H338" s="616"/>
      <c r="I338" s="616"/>
      <c r="J338" s="629" t="s">
        <v>1270</v>
      </c>
      <c r="K338" s="615"/>
      <c r="L338" s="615"/>
      <c r="M338" s="615"/>
      <c r="N338" s="615"/>
      <c r="O338" s="615"/>
      <c r="P338" s="615"/>
      <c r="Q338" s="615"/>
      <c r="S338" s="714"/>
      <c r="T338" s="714"/>
      <c r="U338" s="714"/>
      <c r="V338" s="714"/>
      <c r="W338" s="714"/>
      <c r="X338" s="714"/>
      <c r="Y338" s="714"/>
      <c r="Z338" s="714"/>
      <c r="AA338" s="714"/>
      <c r="AB338" s="714"/>
      <c r="AC338" s="735"/>
      <c r="AD338" s="735"/>
      <c r="AE338" s="735"/>
      <c r="AF338" s="735"/>
      <c r="AG338" s="732"/>
      <c r="AH338" s="732"/>
      <c r="AI338" s="732"/>
      <c r="AJ338" s="732"/>
      <c r="AK338" s="732"/>
      <c r="AL338" s="663"/>
      <c r="AM338" s="663"/>
      <c r="AS338" s="115"/>
      <c r="AT338" s="115"/>
      <c r="AU338" s="115"/>
      <c r="AW338" s="170"/>
      <c r="AX338" s="117"/>
      <c r="AY338" s="117"/>
      <c r="AZ338" s="117"/>
      <c r="BA338" s="117"/>
    </row>
    <row r="339" spans="1:53">
      <c r="A339" s="606" t="s">
        <v>1271</v>
      </c>
      <c r="B339" s="606"/>
      <c r="C339" s="606"/>
      <c r="D339" s="606"/>
      <c r="E339" s="606"/>
      <c r="F339" s="607"/>
      <c r="G339" s="31"/>
      <c r="H339" s="31"/>
      <c r="I339" s="31"/>
      <c r="J339" s="629"/>
      <c r="K339" s="615"/>
      <c r="L339" s="615"/>
      <c r="M339" s="615"/>
      <c r="N339" s="615"/>
      <c r="O339" s="615"/>
      <c r="P339" s="615"/>
      <c r="Q339" s="615"/>
      <c r="R339" s="31"/>
      <c r="S339" s="734"/>
      <c r="T339" s="734"/>
      <c r="U339" s="734"/>
      <c r="V339" s="734"/>
      <c r="W339" s="734"/>
      <c r="X339" s="734"/>
      <c r="Y339" s="734"/>
      <c r="Z339" s="734"/>
      <c r="AA339" s="734"/>
      <c r="AB339" s="734"/>
      <c r="AC339" s="663"/>
      <c r="AD339" s="663"/>
      <c r="AE339" s="663"/>
      <c r="AF339" s="663"/>
      <c r="AG339" s="663"/>
      <c r="AH339" s="663"/>
      <c r="AI339" s="663"/>
      <c r="AJ339" s="663"/>
      <c r="AK339" s="663"/>
      <c r="AL339" s="663"/>
      <c r="AM339" s="663"/>
      <c r="AS339" s="115"/>
      <c r="AT339" s="115"/>
      <c r="AU339" s="115"/>
      <c r="AW339" s="170"/>
      <c r="AX339" s="117"/>
      <c r="AY339" s="117"/>
      <c r="AZ339" s="117"/>
      <c r="BA339" s="117"/>
    </row>
    <row r="340" spans="1:53">
      <c r="A340" s="31"/>
      <c r="B340" s="31"/>
      <c r="C340" s="31"/>
      <c r="D340" s="31"/>
      <c r="E340" s="31"/>
      <c r="F340" s="607"/>
      <c r="G340" s="31"/>
      <c r="H340" s="31"/>
      <c r="I340" s="31"/>
      <c r="J340" s="607"/>
      <c r="K340" s="31"/>
      <c r="L340" s="31"/>
      <c r="M340" s="31"/>
      <c r="N340" s="31"/>
      <c r="O340" s="31"/>
      <c r="Q340" s="31"/>
      <c r="R340" s="31"/>
      <c r="S340" s="663"/>
      <c r="T340" s="663"/>
      <c r="U340" s="663"/>
      <c r="V340" s="663"/>
      <c r="W340" s="663"/>
      <c r="X340" s="663"/>
      <c r="Y340" s="663"/>
      <c r="Z340" s="663"/>
      <c r="AA340" s="663"/>
      <c r="AB340" s="663"/>
      <c r="AC340" s="663"/>
      <c r="AD340" s="663"/>
      <c r="AE340" s="663"/>
      <c r="AF340" s="663"/>
      <c r="AG340" s="663"/>
      <c r="AH340" s="663"/>
      <c r="AI340" s="663"/>
      <c r="AJ340" s="663"/>
      <c r="AK340" s="663"/>
      <c r="AL340" s="663"/>
      <c r="AM340" s="663"/>
      <c r="AS340" s="115"/>
      <c r="AT340" s="115"/>
      <c r="AU340" s="115"/>
      <c r="AW340" s="170"/>
      <c r="AX340" s="117"/>
      <c r="AY340" s="117"/>
      <c r="AZ340" s="117"/>
      <c r="BA340" s="117"/>
    </row>
    <row r="341" spans="1:53" ht="13.5" thickBot="1">
      <c r="A341" s="610" t="str">
        <f>B349&amp;" ref"</f>
        <v>Foothills Skylar ref</v>
      </c>
      <c r="B341" s="610"/>
      <c r="C341" s="610"/>
      <c r="D341" s="610"/>
      <c r="E341" s="611"/>
      <c r="F341" s="633"/>
      <c r="G341" s="634"/>
      <c r="H341" s="634"/>
      <c r="I341" s="635"/>
      <c r="J341" s="620"/>
      <c r="K341" s="621"/>
      <c r="L341" s="621"/>
      <c r="M341" s="621"/>
      <c r="N341" s="621"/>
      <c r="O341" s="31"/>
      <c r="R341" s="614"/>
      <c r="S341" s="732"/>
      <c r="T341" s="732"/>
      <c r="U341" s="732"/>
      <c r="V341" s="732"/>
      <c r="W341" s="732"/>
      <c r="X341" s="732"/>
      <c r="Y341" s="732"/>
      <c r="Z341" s="732"/>
      <c r="AA341" s="732"/>
      <c r="AB341" s="663"/>
      <c r="AC341" s="732"/>
      <c r="AD341" s="732"/>
      <c r="AE341" s="732"/>
      <c r="AF341" s="732"/>
      <c r="AG341" s="732"/>
      <c r="AH341" s="732"/>
      <c r="AI341" s="732"/>
      <c r="AJ341" s="663"/>
      <c r="AK341" s="663"/>
      <c r="AL341" s="663"/>
      <c r="AM341" s="663"/>
      <c r="AS341" s="115"/>
      <c r="AT341" s="115"/>
      <c r="AU341" s="115"/>
      <c r="AW341" s="177"/>
      <c r="AX341" s="176"/>
      <c r="AY341" s="176"/>
      <c r="AZ341" s="176"/>
      <c r="BA341" s="176"/>
    </row>
    <row r="342" spans="1:53">
      <c r="A342" s="616" t="s">
        <v>1272</v>
      </c>
      <c r="B342" s="616"/>
      <c r="C342" s="616"/>
      <c r="D342" s="616"/>
      <c r="E342" s="630"/>
      <c r="F342" s="612" t="str">
        <f>IF(J357=1,B349,IF(J357=2,B350,IF(J357=3,B351,IF(J357=4,B352,"Winner Match 2"))))</f>
        <v>Winner Match 2</v>
      </c>
      <c r="G342" s="613"/>
      <c r="H342" s="613"/>
      <c r="I342" s="613"/>
      <c r="J342" s="613"/>
      <c r="K342" s="613"/>
      <c r="L342" s="613"/>
      <c r="M342" s="613"/>
      <c r="N342" s="613"/>
      <c r="O342" s="31"/>
      <c r="Q342" s="622"/>
      <c r="R342" s="622"/>
      <c r="S342" s="663"/>
      <c r="T342" s="735"/>
      <c r="U342" s="735"/>
      <c r="V342" s="735"/>
      <c r="W342" s="735"/>
      <c r="X342" s="735"/>
      <c r="Y342" s="735"/>
      <c r="Z342" s="735"/>
      <c r="AA342" s="735"/>
      <c r="AB342" s="663"/>
      <c r="AC342" s="714"/>
      <c r="AD342" s="714"/>
      <c r="AE342" s="714"/>
      <c r="AF342" s="714"/>
      <c r="AG342" s="714"/>
      <c r="AH342" s="714"/>
      <c r="AI342" s="714"/>
      <c r="AJ342" s="663"/>
      <c r="AK342" s="663"/>
      <c r="AL342" s="663"/>
      <c r="AM342" s="663"/>
      <c r="AS342" s="115"/>
      <c r="AT342" s="115"/>
      <c r="AU342" s="115"/>
      <c r="AW342" s="183"/>
      <c r="AX342" s="182"/>
      <c r="AY342" s="182"/>
      <c r="AZ342" s="182"/>
      <c r="BA342" s="182"/>
    </row>
    <row r="343" spans="1:53" ht="13.5" thickBot="1">
      <c r="A343" s="604" t="str">
        <f>IF(G357=1,B349,IF(G357=2,B350,IF(G357=3,B351,IF(G357=4,B352,IF(OR(G357="B",G357="b"),"BYE","invalid")))))</f>
        <v>4th Place Court 2</v>
      </c>
      <c r="B343" s="604"/>
      <c r="C343" s="604"/>
      <c r="D343" s="604"/>
      <c r="E343" s="625"/>
      <c r="F343" s="607"/>
      <c r="G343" s="31"/>
      <c r="H343" s="31"/>
      <c r="I343" s="31"/>
      <c r="J343" s="31"/>
      <c r="K343" s="31"/>
      <c r="L343" s="31"/>
      <c r="M343" s="31"/>
      <c r="N343" s="31"/>
      <c r="O343" s="31"/>
      <c r="Q343" s="31"/>
      <c r="R343" s="31"/>
      <c r="S343" s="663"/>
      <c r="T343" s="714"/>
      <c r="U343" s="714"/>
      <c r="V343" s="714"/>
      <c r="W343" s="714"/>
      <c r="X343" s="714"/>
      <c r="Y343" s="714"/>
      <c r="Z343" s="714"/>
      <c r="AA343" s="714"/>
      <c r="AB343" s="714"/>
      <c r="AC343" s="663"/>
      <c r="AD343" s="663"/>
      <c r="AE343" s="663"/>
      <c r="AF343" s="663"/>
      <c r="AG343" s="663"/>
      <c r="AH343" s="663"/>
      <c r="AI343" s="663"/>
      <c r="AJ343" s="663"/>
      <c r="AK343" s="663"/>
      <c r="AL343" s="663"/>
      <c r="AM343" s="663"/>
      <c r="AS343" s="115"/>
      <c r="AT343" s="115"/>
      <c r="AU343" s="115"/>
      <c r="AW343" s="183"/>
      <c r="AX343" s="182"/>
      <c r="AY343" s="182"/>
      <c r="AZ343" s="182"/>
      <c r="BA343" s="182"/>
    </row>
    <row r="344" spans="1:53">
      <c r="A344" s="606" t="s">
        <v>1273</v>
      </c>
      <c r="B344" s="606"/>
      <c r="C344" s="606"/>
      <c r="D344" s="606"/>
      <c r="E344" s="606"/>
      <c r="S344" s="663"/>
      <c r="T344" s="734"/>
      <c r="U344" s="734"/>
      <c r="V344" s="734"/>
      <c r="W344" s="734"/>
      <c r="X344" s="734"/>
      <c r="Y344" s="734"/>
      <c r="Z344" s="734"/>
      <c r="AA344" s="734"/>
      <c r="AB344" s="734"/>
      <c r="AC344" s="663"/>
      <c r="AD344" s="663"/>
      <c r="AE344" s="663"/>
      <c r="AF344" s="663"/>
      <c r="AG344" s="663"/>
      <c r="AH344" s="663"/>
      <c r="AI344" s="663"/>
      <c r="AJ344" s="663"/>
      <c r="AK344" s="663"/>
      <c r="AL344" s="663"/>
      <c r="AM344" s="663"/>
      <c r="AS344" s="115"/>
      <c r="AT344" s="115"/>
      <c r="AU344" s="115"/>
      <c r="AW344" s="170"/>
      <c r="AX344" s="117"/>
      <c r="AY344" s="117"/>
      <c r="AZ344" s="117"/>
      <c r="BA344" s="117"/>
    </row>
    <row r="345" spans="1:53">
      <c r="S345" s="663"/>
      <c r="T345" s="663"/>
      <c r="U345" s="663"/>
      <c r="V345" s="663"/>
      <c r="W345" s="663"/>
      <c r="X345" s="663"/>
      <c r="Y345" s="663"/>
      <c r="Z345" s="663"/>
      <c r="AA345" s="663"/>
      <c r="AB345" s="663"/>
      <c r="AC345" s="663"/>
      <c r="AD345" s="663"/>
      <c r="AE345" s="663"/>
      <c r="AF345" s="663"/>
      <c r="AG345" s="663"/>
      <c r="AH345" s="663"/>
      <c r="AI345" s="663"/>
      <c r="AJ345" s="663"/>
      <c r="AK345" s="663"/>
      <c r="AL345" s="663"/>
      <c r="AM345" s="663"/>
      <c r="AS345" s="115"/>
      <c r="AT345" s="115"/>
      <c r="AU345" s="115"/>
      <c r="AW345" s="170"/>
      <c r="AX345" s="117"/>
      <c r="AY345" s="117"/>
      <c r="AZ345" s="117"/>
      <c r="BA345" s="117"/>
    </row>
    <row r="346" spans="1:53">
      <c r="S346" s="663"/>
      <c r="T346" s="663"/>
      <c r="U346" s="663"/>
      <c r="V346" s="663"/>
      <c r="W346" s="663"/>
      <c r="X346" s="663"/>
      <c r="Y346" s="663"/>
      <c r="Z346" s="663"/>
      <c r="AA346" s="663"/>
      <c r="AB346" s="663"/>
      <c r="AC346" s="663"/>
      <c r="AD346" s="663"/>
      <c r="AE346" s="663"/>
      <c r="AF346" s="663"/>
      <c r="AG346" s="663"/>
      <c r="AH346" s="663"/>
      <c r="AI346" s="663"/>
      <c r="AJ346" s="663"/>
      <c r="AK346" s="663"/>
      <c r="AL346" s="663"/>
      <c r="AM346" s="663"/>
      <c r="AS346" s="115"/>
      <c r="AT346" s="115"/>
      <c r="AU346" s="115"/>
    </row>
    <row r="347" spans="1:53" ht="16.5" thickBot="1">
      <c r="A347" s="636" t="s">
        <v>1274</v>
      </c>
      <c r="B347" s="636"/>
      <c r="C347" s="636"/>
      <c r="D347" s="636"/>
      <c r="E347" s="636"/>
      <c r="F347" s="636"/>
      <c r="G347" s="636"/>
      <c r="H347" s="636"/>
      <c r="I347" s="636"/>
      <c r="J347" s="636"/>
      <c r="K347" s="637"/>
      <c r="R347" s="638"/>
      <c r="S347" s="739"/>
      <c r="T347" s="739"/>
      <c r="U347" s="740"/>
      <c r="V347" s="740"/>
      <c r="W347" s="740"/>
      <c r="X347" s="740"/>
      <c r="Y347" s="740"/>
      <c r="Z347" s="740"/>
      <c r="AA347" s="740"/>
      <c r="AB347" s="740"/>
      <c r="AC347" s="740"/>
      <c r="AD347" s="740"/>
      <c r="AE347" s="740"/>
      <c r="AF347" s="740"/>
      <c r="AG347" s="663"/>
      <c r="AH347" s="663"/>
      <c r="AI347" s="663"/>
      <c r="AJ347" s="663"/>
      <c r="AK347" s="663"/>
      <c r="AL347" s="663"/>
      <c r="AM347" s="663"/>
      <c r="AS347" s="115"/>
      <c r="AT347" s="115"/>
      <c r="AU347" s="115"/>
    </row>
    <row r="348" spans="1:53" ht="13.5" thickBot="1">
      <c r="A348" s="639" t="s">
        <v>1232</v>
      </c>
      <c r="B348" s="640" t="s">
        <v>1233</v>
      </c>
      <c r="C348" s="641"/>
      <c r="D348" s="641"/>
      <c r="E348" s="641"/>
      <c r="F348" s="641"/>
      <c r="G348" s="641"/>
      <c r="H348" s="641"/>
      <c r="I348" s="641"/>
      <c r="J348" s="642"/>
      <c r="K348" s="643" t="s">
        <v>1234</v>
      </c>
      <c r="L348" s="644"/>
      <c r="M348" s="644"/>
      <c r="N348" s="644"/>
      <c r="O348" s="644"/>
      <c r="P348" s="644"/>
      <c r="Q348" s="645"/>
      <c r="R348" s="31"/>
      <c r="S348" s="663"/>
      <c r="T348" s="663"/>
      <c r="U348" s="714"/>
      <c r="V348" s="714"/>
      <c r="W348" s="714"/>
      <c r="X348" s="714"/>
      <c r="Y348" s="663"/>
      <c r="Z348" s="663"/>
      <c r="AA348" s="663"/>
      <c r="AB348" s="663"/>
      <c r="AC348" s="663"/>
      <c r="AD348" s="663"/>
      <c r="AE348" s="663"/>
      <c r="AF348" s="663"/>
      <c r="AG348" s="663"/>
      <c r="AH348" s="663"/>
      <c r="AI348" s="663"/>
      <c r="AJ348" s="663"/>
      <c r="AK348" s="663"/>
      <c r="AL348" s="663"/>
      <c r="AM348" s="663"/>
      <c r="AS348" s="115"/>
      <c r="AT348" s="115"/>
      <c r="AU348" s="115"/>
    </row>
    <row r="349" spans="1:53" ht="13.5" thickBot="1">
      <c r="A349" s="639">
        <v>1</v>
      </c>
      <c r="B349" s="649" t="str">
        <f>X271</f>
        <v>Foothills Skylar</v>
      </c>
      <c r="C349" s="650"/>
      <c r="D349" s="650"/>
      <c r="E349" s="650"/>
      <c r="F349" s="650"/>
      <c r="G349" s="650"/>
      <c r="H349" s="650"/>
      <c r="I349" s="650"/>
      <c r="J349" s="651"/>
      <c r="K349" s="652" t="str">
        <f>AF271</f>
        <v>fj2footh3pm</v>
      </c>
      <c r="L349" s="653"/>
      <c r="M349" s="653"/>
      <c r="N349" s="653"/>
      <c r="O349" s="653"/>
      <c r="P349" s="653"/>
      <c r="Q349" s="654"/>
      <c r="R349" s="31"/>
      <c r="S349" s="663"/>
      <c r="T349" s="663"/>
      <c r="U349" s="714"/>
      <c r="V349" s="714"/>
      <c r="W349" s="714"/>
      <c r="X349" s="732"/>
      <c r="Y349" s="732"/>
      <c r="Z349" s="732"/>
      <c r="AA349" s="732"/>
      <c r="AB349" s="732"/>
      <c r="AC349" s="732"/>
      <c r="AD349" s="732"/>
      <c r="AE349" s="732"/>
      <c r="AF349" s="732"/>
      <c r="AG349" s="663"/>
      <c r="AH349" s="663"/>
      <c r="AI349" s="663"/>
      <c r="AJ349" s="663"/>
      <c r="AK349" s="663"/>
      <c r="AL349" s="663"/>
      <c r="AM349" s="663"/>
      <c r="AS349" s="115"/>
      <c r="AT349" s="115"/>
      <c r="AU349" s="115"/>
    </row>
    <row r="350" spans="1:53" ht="13.5" thickBot="1">
      <c r="A350" s="639">
        <v>2</v>
      </c>
      <c r="B350" s="649" t="str">
        <f>AH264</f>
        <v>4th Place Court 1</v>
      </c>
      <c r="C350" s="650"/>
      <c r="D350" s="650"/>
      <c r="E350" s="650"/>
      <c r="F350" s="650"/>
      <c r="G350" s="650"/>
      <c r="H350" s="650"/>
      <c r="I350" s="650"/>
      <c r="J350" s="651"/>
      <c r="K350" s="652" t="str">
        <f>AK264</f>
        <v>4th Place Court 1</v>
      </c>
      <c r="L350" s="653"/>
      <c r="M350" s="653"/>
      <c r="N350" s="653"/>
      <c r="O350" s="653"/>
      <c r="P350" s="653"/>
      <c r="Q350" s="654"/>
      <c r="R350" s="31"/>
      <c r="S350" s="663"/>
      <c r="T350" s="663"/>
      <c r="U350" s="714"/>
      <c r="V350" s="714"/>
      <c r="W350" s="714"/>
      <c r="X350" s="732"/>
      <c r="Y350" s="732"/>
      <c r="Z350" s="732"/>
      <c r="AA350" s="732"/>
      <c r="AB350" s="732"/>
      <c r="AC350" s="732"/>
      <c r="AD350" s="732"/>
      <c r="AE350" s="732"/>
      <c r="AF350" s="732"/>
      <c r="AG350" s="663"/>
      <c r="AH350" s="663"/>
      <c r="AI350" s="663"/>
      <c r="AJ350" s="663"/>
      <c r="AK350" s="663"/>
      <c r="AL350" s="663"/>
      <c r="AM350" s="663"/>
      <c r="AS350" s="115"/>
      <c r="AT350" s="115"/>
      <c r="AU350" s="115"/>
    </row>
    <row r="351" spans="1:53" ht="13.5" thickBot="1">
      <c r="A351" s="639">
        <v>3</v>
      </c>
      <c r="B351" s="649" t="str">
        <f>AH265</f>
        <v>4th Place Court 2</v>
      </c>
      <c r="C351" s="650"/>
      <c r="D351" s="650"/>
      <c r="E351" s="650"/>
      <c r="F351" s="650"/>
      <c r="G351" s="650"/>
      <c r="H351" s="650"/>
      <c r="I351" s="650"/>
      <c r="J351" s="651"/>
      <c r="K351" s="652" t="str">
        <f>AK265</f>
        <v>4th Place Court 2</v>
      </c>
      <c r="L351" s="653"/>
      <c r="M351" s="653"/>
      <c r="N351" s="653"/>
      <c r="O351" s="653"/>
      <c r="P351" s="653"/>
      <c r="Q351" s="654"/>
      <c r="R351" s="31"/>
      <c r="S351" s="663"/>
      <c r="T351" s="663"/>
      <c r="U351" s="714"/>
      <c r="V351" s="714"/>
      <c r="W351" s="714"/>
      <c r="X351" s="732"/>
      <c r="Y351" s="732"/>
      <c r="Z351" s="732"/>
      <c r="AA351" s="732"/>
      <c r="AB351" s="732"/>
      <c r="AC351" s="732"/>
      <c r="AD351" s="732"/>
      <c r="AE351" s="732"/>
      <c r="AF351" s="732"/>
      <c r="AG351" s="663"/>
      <c r="AH351" s="663"/>
      <c r="AI351" s="663"/>
      <c r="AJ351" s="663"/>
      <c r="AK351" s="663"/>
      <c r="AL351" s="663"/>
      <c r="AM351" s="663"/>
      <c r="AS351" s="115"/>
      <c r="AT351" s="115"/>
      <c r="AU351" s="115"/>
    </row>
    <row r="352" spans="1:53" ht="13.5" thickBot="1">
      <c r="A352" s="639">
        <v>4</v>
      </c>
      <c r="B352" s="741" t="s">
        <v>1235</v>
      </c>
      <c r="C352" s="742"/>
      <c r="D352" s="742"/>
      <c r="E352" s="742"/>
      <c r="F352" s="742"/>
      <c r="G352" s="742"/>
      <c r="H352" s="742"/>
      <c r="I352" s="742"/>
      <c r="J352" s="743"/>
      <c r="K352" s="652"/>
      <c r="L352" s="653"/>
      <c r="M352" s="653"/>
      <c r="N352" s="653"/>
      <c r="O352" s="653"/>
      <c r="P352" s="653"/>
      <c r="Q352" s="654"/>
      <c r="R352" s="31"/>
      <c r="S352" s="663"/>
      <c r="T352" s="663"/>
      <c r="U352" s="714"/>
      <c r="V352" s="714"/>
      <c r="W352" s="714"/>
      <c r="X352" s="732"/>
      <c r="Y352" s="732"/>
      <c r="Z352" s="732"/>
      <c r="AA352" s="732"/>
      <c r="AB352" s="732"/>
      <c r="AC352" s="732"/>
      <c r="AD352" s="732"/>
      <c r="AE352" s="732"/>
      <c r="AF352" s="732"/>
      <c r="AG352" s="663"/>
      <c r="AH352" s="663"/>
      <c r="AI352" s="663"/>
      <c r="AJ352" s="663"/>
      <c r="AK352" s="663"/>
      <c r="AL352" s="663"/>
      <c r="AM352" s="663"/>
      <c r="AS352" s="115"/>
      <c r="AT352" s="115"/>
      <c r="AU352" s="115"/>
    </row>
    <row r="353" spans="1:80" ht="13.5" thickBot="1">
      <c r="S353" s="663"/>
      <c r="T353" s="663"/>
      <c r="U353" s="663"/>
      <c r="V353" s="663"/>
      <c r="W353" s="663"/>
      <c r="X353" s="663"/>
      <c r="Y353" s="663"/>
      <c r="Z353" s="663"/>
      <c r="AA353" s="663"/>
      <c r="AB353" s="663"/>
      <c r="AC353" s="663"/>
      <c r="AD353" s="663"/>
      <c r="AE353" s="663"/>
      <c r="AF353" s="663"/>
      <c r="AG353" s="663"/>
      <c r="AH353" s="663"/>
      <c r="AI353" s="663"/>
      <c r="AJ353" s="663"/>
      <c r="AK353" s="663"/>
      <c r="AL353" s="663"/>
      <c r="AM353" s="663"/>
      <c r="AS353" s="115"/>
      <c r="AT353" s="115"/>
      <c r="AU353" s="115"/>
    </row>
    <row r="354" spans="1:80">
      <c r="B354" s="655" t="s">
        <v>1236</v>
      </c>
      <c r="C354" s="656"/>
      <c r="D354" s="657"/>
      <c r="E354" s="658" t="s">
        <v>1236</v>
      </c>
      <c r="F354" s="656"/>
      <c r="G354" s="657"/>
      <c r="H354" s="658" t="s">
        <v>7</v>
      </c>
      <c r="I354" s="656"/>
      <c r="J354" s="659"/>
      <c r="K354" s="660" t="s">
        <v>1237</v>
      </c>
      <c r="L354" s="661"/>
      <c r="M354" s="661"/>
      <c r="N354" s="661"/>
      <c r="O354" s="661"/>
      <c r="P354" s="661"/>
      <c r="Q354" s="662"/>
      <c r="S354" s="663"/>
      <c r="T354" s="663"/>
      <c r="U354" s="663"/>
      <c r="V354" s="663"/>
      <c r="W354" s="663"/>
      <c r="X354" s="744"/>
      <c r="Y354" s="744"/>
      <c r="Z354" s="744"/>
      <c r="AA354" s="744"/>
      <c r="AB354" s="744"/>
      <c r="AC354" s="744"/>
      <c r="AD354" s="744"/>
      <c r="AE354" s="744"/>
      <c r="AF354" s="744"/>
      <c r="AG354" s="663"/>
      <c r="AH354" s="663"/>
      <c r="AI354" s="663"/>
      <c r="AJ354" s="663"/>
      <c r="AK354" s="663"/>
      <c r="AL354" s="663"/>
      <c r="AM354" s="663"/>
      <c r="AS354" s="115"/>
      <c r="AT354" s="115"/>
      <c r="AU354" s="115"/>
    </row>
    <row r="355" spans="1:80">
      <c r="A355" s="107" t="s">
        <v>1238</v>
      </c>
      <c r="B355" s="666">
        <v>3</v>
      </c>
      <c r="C355" s="667"/>
      <c r="D355" s="668"/>
      <c r="E355" s="669" t="s">
        <v>1239</v>
      </c>
      <c r="F355" s="667"/>
      <c r="G355" s="668"/>
      <c r="H355" s="669" t="s">
        <v>1240</v>
      </c>
      <c r="I355" s="667"/>
      <c r="J355" s="670"/>
      <c r="K355" s="671"/>
      <c r="L355" s="672"/>
      <c r="M355" s="672"/>
      <c r="N355" s="672"/>
      <c r="O355" s="672"/>
      <c r="P355" s="672"/>
      <c r="Q355" s="673"/>
      <c r="S355" s="663"/>
      <c r="T355" s="663"/>
      <c r="U355" s="663"/>
      <c r="V355" s="663"/>
      <c r="W355" s="745"/>
      <c r="X355" s="746"/>
      <c r="Y355" s="746"/>
      <c r="Z355" s="746"/>
      <c r="AA355" s="746"/>
      <c r="AB355" s="746"/>
      <c r="AC355" s="746"/>
      <c r="AD355" s="746"/>
      <c r="AE355" s="746"/>
      <c r="AF355" s="746"/>
      <c r="AG355" s="663"/>
      <c r="AH355" s="663"/>
      <c r="AI355" s="663"/>
      <c r="AJ355" s="663"/>
      <c r="AK355" s="663"/>
      <c r="AL355" s="663"/>
      <c r="AM355" s="663"/>
      <c r="AS355" s="117"/>
      <c r="AT355" s="117"/>
      <c r="AU355" s="117"/>
    </row>
    <row r="356" spans="1:80" ht="13.5" thickBot="1">
      <c r="A356" s="534"/>
      <c r="B356" s="679" t="s">
        <v>30</v>
      </c>
      <c r="C356" s="387"/>
      <c r="D356" s="388"/>
      <c r="E356" s="386" t="s">
        <v>1241</v>
      </c>
      <c r="F356" s="387"/>
      <c r="G356" s="388"/>
      <c r="H356" s="386" t="s">
        <v>1242</v>
      </c>
      <c r="I356" s="387"/>
      <c r="J356" s="680"/>
      <c r="K356" s="681"/>
      <c r="L356" s="682"/>
      <c r="M356" s="682"/>
      <c r="N356" s="682"/>
      <c r="O356" s="682"/>
      <c r="P356" s="682"/>
      <c r="Q356" s="683"/>
      <c r="S356" s="663"/>
      <c r="T356" s="663"/>
      <c r="U356" s="714"/>
      <c r="V356" s="714"/>
      <c r="W356" s="714"/>
      <c r="X356" s="747"/>
      <c r="Y356" s="747"/>
      <c r="Z356" s="747"/>
      <c r="AA356" s="747"/>
      <c r="AB356" s="747"/>
      <c r="AC356" s="747"/>
      <c r="AD356" s="747"/>
      <c r="AE356" s="747"/>
      <c r="AF356" s="747"/>
      <c r="AG356" s="663"/>
      <c r="AH356" s="663"/>
      <c r="AI356" s="663"/>
      <c r="AJ356" s="663"/>
      <c r="AK356" s="663"/>
      <c r="AL356" s="663"/>
      <c r="AM356" s="663"/>
      <c r="AS356" s="117"/>
      <c r="AT356" s="117"/>
      <c r="AU356" s="117"/>
    </row>
    <row r="357" spans="1:80" ht="13.5" thickBot="1">
      <c r="A357" s="534"/>
      <c r="B357" s="689">
        <v>1</v>
      </c>
      <c r="C357" s="690" t="s">
        <v>35</v>
      </c>
      <c r="D357" s="691" t="s">
        <v>294</v>
      </c>
      <c r="E357" s="692">
        <v>2</v>
      </c>
      <c r="F357" s="690" t="s">
        <v>35</v>
      </c>
      <c r="G357" s="691">
        <v>3</v>
      </c>
      <c r="H357" s="693">
        <f>IF(OR(AND(OR(B361&gt;0,D361&gt;0),B361&gt;D361),OR(D357="b",D357="B")),B357,IF(OR(AND(OR(B361&gt;0,D361&gt;0),D361&gt;B361),OR(B357="b",B357="B")),D357,"W1"))</f>
        <v>1</v>
      </c>
      <c r="I357" s="694" t="s">
        <v>35</v>
      </c>
      <c r="J357" s="695" t="str">
        <f>IF(OR(AND(OR(E361&gt;0,G361&gt;0),E361&gt;G361),OR(G357="b",G357="B")),E357,IF(OR(AND(OR(E361&gt;0,G361&gt;0),G361&gt;E361),OR(E357="b",E357="B")),G357,"W2"))</f>
        <v>W2</v>
      </c>
      <c r="K357" s="696" t="s">
        <v>1243</v>
      </c>
      <c r="L357" s="697"/>
      <c r="M357" s="697"/>
      <c r="N357" s="698"/>
      <c r="S357" s="663"/>
      <c r="T357" s="663"/>
      <c r="U357" s="714"/>
      <c r="V357" s="714"/>
      <c r="W357" s="714"/>
      <c r="X357" s="750"/>
      <c r="Y357" s="748"/>
      <c r="Z357" s="749"/>
      <c r="AA357" s="750"/>
      <c r="AB357" s="748"/>
      <c r="AC357" s="749"/>
      <c r="AD357" s="750"/>
      <c r="AE357" s="748"/>
      <c r="AF357" s="749"/>
      <c r="AG357" s="747"/>
      <c r="AH357" s="747"/>
      <c r="AI357" s="663"/>
      <c r="AJ357" s="663"/>
      <c r="AK357" s="663"/>
      <c r="AL357" s="663"/>
      <c r="AM357" s="663"/>
    </row>
    <row r="358" spans="1:80" ht="12.75" hidden="1" customHeight="1" thickBot="1">
      <c r="A358" s="534"/>
      <c r="B358" s="699">
        <f>IF(B362&gt;D362,1,0)</f>
        <v>0</v>
      </c>
      <c r="C358" s="700"/>
      <c r="D358" s="701">
        <f>IF(D362&gt;B362,1,0)</f>
        <v>0</v>
      </c>
      <c r="E358" s="699">
        <f>IF(E362&gt;G362,1,0)</f>
        <v>0</v>
      </c>
      <c r="F358" s="700"/>
      <c r="G358" s="701">
        <f>IF(G362&gt;E362,1,0)</f>
        <v>0</v>
      </c>
      <c r="H358" s="699">
        <f>IF(H362&gt;J362,1,0)</f>
        <v>0</v>
      </c>
      <c r="I358" s="700"/>
      <c r="J358" s="701">
        <f>IF(J362&gt;H362,1,0)</f>
        <v>0</v>
      </c>
      <c r="K358" s="702"/>
      <c r="L358" s="703"/>
      <c r="M358" s="703"/>
      <c r="N358" s="704"/>
      <c r="S358" s="663"/>
      <c r="T358" s="663"/>
      <c r="U358" s="714"/>
      <c r="V358" s="714"/>
      <c r="W358" s="714"/>
      <c r="X358" s="751"/>
      <c r="Y358" s="726"/>
      <c r="Z358" s="752"/>
      <c r="AA358" s="751"/>
      <c r="AB358" s="726"/>
      <c r="AC358" s="752"/>
      <c r="AD358" s="751"/>
      <c r="AE358" s="726"/>
      <c r="AF358" s="752"/>
      <c r="AG358" s="820"/>
      <c r="AH358" s="820"/>
      <c r="AI358" s="663"/>
      <c r="AJ358" s="663"/>
      <c r="AK358" s="663"/>
      <c r="AL358" s="663"/>
      <c r="AM358" s="663"/>
    </row>
    <row r="359" spans="1:80" ht="12.75" hidden="1" customHeight="1" thickBot="1">
      <c r="A359" s="534"/>
      <c r="B359" s="699">
        <f>IF(B363&gt;D363,1,0)</f>
        <v>0</v>
      </c>
      <c r="C359" s="700"/>
      <c r="D359" s="701">
        <f>IF(D363&gt;B363,1,0)</f>
        <v>0</v>
      </c>
      <c r="E359" s="699">
        <f>IF(E363&gt;G363,1,0)</f>
        <v>0</v>
      </c>
      <c r="F359" s="700"/>
      <c r="G359" s="701">
        <f>IF(G363&gt;E363,1,0)</f>
        <v>0</v>
      </c>
      <c r="H359" s="699">
        <f>IF(H363&gt;J363,1,0)</f>
        <v>0</v>
      </c>
      <c r="I359" s="700"/>
      <c r="J359" s="701">
        <f>IF(J363&gt;H363,1,0)</f>
        <v>0</v>
      </c>
      <c r="K359" s="702"/>
      <c r="L359" s="703"/>
      <c r="M359" s="703"/>
      <c r="N359" s="704"/>
      <c r="S359" s="663"/>
      <c r="T359" s="663"/>
      <c r="U359" s="714"/>
      <c r="V359" s="714"/>
      <c r="W359" s="714"/>
      <c r="X359" s="751"/>
      <c r="Y359" s="726"/>
      <c r="Z359" s="752"/>
      <c r="AA359" s="751"/>
      <c r="AB359" s="726"/>
      <c r="AC359" s="752"/>
      <c r="AD359" s="751"/>
      <c r="AE359" s="726"/>
      <c r="AF359" s="752"/>
      <c r="AG359" s="820"/>
      <c r="AH359" s="820"/>
      <c r="AI359" s="663"/>
      <c r="AJ359" s="663"/>
      <c r="AK359" s="663"/>
      <c r="AL359" s="663"/>
      <c r="AM359" s="663"/>
    </row>
    <row r="360" spans="1:80" ht="13.5" hidden="1" customHeight="1" thickBot="1">
      <c r="A360" s="534"/>
      <c r="B360" s="699">
        <f>IF(B364&gt;D364,1,0)</f>
        <v>0</v>
      </c>
      <c r="C360" s="700"/>
      <c r="D360" s="701">
        <f>IF(D364&gt;B364,1,0)</f>
        <v>0</v>
      </c>
      <c r="E360" s="699">
        <f>IF(E364&gt;G364,1,0)</f>
        <v>0</v>
      </c>
      <c r="F360" s="700"/>
      <c r="G360" s="701">
        <f>IF(G364&gt;E364,1,0)</f>
        <v>0</v>
      </c>
      <c r="H360" s="699">
        <f>IF(H364&gt;J364,1,0)</f>
        <v>0</v>
      </c>
      <c r="I360" s="700"/>
      <c r="J360" s="701">
        <f>IF(J364&gt;H364,1,0)</f>
        <v>0</v>
      </c>
      <c r="K360" s="702"/>
      <c r="L360" s="703"/>
      <c r="M360" s="703"/>
      <c r="N360" s="704"/>
      <c r="S360" s="663"/>
      <c r="T360" s="663"/>
      <c r="U360" s="714"/>
      <c r="V360" s="714"/>
      <c r="W360" s="714"/>
      <c r="X360" s="751"/>
      <c r="Y360" s="726"/>
      <c r="Z360" s="752"/>
      <c r="AA360" s="751"/>
      <c r="AB360" s="726"/>
      <c r="AC360" s="752"/>
      <c r="AD360" s="751"/>
      <c r="AE360" s="726"/>
      <c r="AF360" s="752"/>
      <c r="AG360" s="820"/>
      <c r="AH360" s="820"/>
      <c r="AI360" s="663"/>
      <c r="AJ360" s="663"/>
      <c r="AK360" s="663"/>
      <c r="AL360" s="663"/>
      <c r="AM360" s="663"/>
    </row>
    <row r="361" spans="1:80" ht="13.5" hidden="1" thickBot="1">
      <c r="A361" s="534"/>
      <c r="B361" s="699">
        <f>SUM(B358:B360)</f>
        <v>0</v>
      </c>
      <c r="C361" s="700"/>
      <c r="D361" s="699">
        <f>SUM(D358:D360)</f>
        <v>0</v>
      </c>
      <c r="E361" s="699">
        <f>SUM(E358:E360)</f>
        <v>0</v>
      </c>
      <c r="F361" s="700"/>
      <c r="G361" s="699">
        <f>SUM(G358:G360)</f>
        <v>0</v>
      </c>
      <c r="H361" s="699">
        <f>SUM(H358:H360)</f>
        <v>0</v>
      </c>
      <c r="I361" s="700"/>
      <c r="J361" s="699">
        <f>SUM(J358:J360)</f>
        <v>0</v>
      </c>
      <c r="K361" s="702"/>
      <c r="L361" s="703"/>
      <c r="M361" s="703"/>
      <c r="N361" s="704"/>
      <c r="S361" s="663"/>
      <c r="T361" s="663"/>
      <c r="U361" s="714"/>
      <c r="V361" s="714"/>
      <c r="W361" s="714"/>
      <c r="X361" s="714"/>
      <c r="Y361" s="714"/>
      <c r="Z361" s="714"/>
      <c r="AA361" s="714"/>
      <c r="AB361" s="714"/>
      <c r="AC361" s="714"/>
      <c r="AD361" s="714"/>
      <c r="AE361" s="714"/>
      <c r="AF361" s="714"/>
      <c r="AG361" s="714"/>
      <c r="AH361" s="714"/>
      <c r="AI361" s="663"/>
      <c r="AJ361" s="663"/>
      <c r="AK361" s="663"/>
      <c r="AL361" s="663"/>
      <c r="AM361" s="663"/>
    </row>
    <row r="362" spans="1:80">
      <c r="A362" s="131" t="s">
        <v>36</v>
      </c>
      <c r="B362" s="707"/>
      <c r="C362" s="113" t="s">
        <v>37</v>
      </c>
      <c r="D362" s="708"/>
      <c r="E362" s="709"/>
      <c r="F362" s="113" t="s">
        <v>37</v>
      </c>
      <c r="G362" s="708"/>
      <c r="H362" s="709"/>
      <c r="I362" s="113" t="s">
        <v>37</v>
      </c>
      <c r="J362" s="710"/>
      <c r="K362" s="711" t="str">
        <f>IF(AND(OR(H361&gt;0,J361&gt;0),AND(1&lt;=H357,H357&lt;=4),AND(1&lt;=J357,J357&lt;=4)),IF(H361&gt;J361,H357,IF(J361&gt;H361,J357,"")),"")</f>
        <v/>
      </c>
      <c r="L362" s="712"/>
      <c r="M362" s="712"/>
      <c r="N362" s="713"/>
    </row>
    <row r="363" spans="1:80">
      <c r="A363" s="131" t="s">
        <v>49</v>
      </c>
      <c r="B363" s="707"/>
      <c r="C363" s="113" t="s">
        <v>37</v>
      </c>
      <c r="D363" s="708"/>
      <c r="E363" s="709"/>
      <c r="F363" s="113" t="s">
        <v>37</v>
      </c>
      <c r="G363" s="708"/>
      <c r="H363" s="709"/>
      <c r="I363" s="113" t="s">
        <v>37</v>
      </c>
      <c r="J363" s="710"/>
      <c r="K363" s="715"/>
      <c r="L363" s="716"/>
      <c r="M363" s="716"/>
      <c r="N363" s="717"/>
    </row>
    <row r="364" spans="1:80" ht="13.5" thickBot="1">
      <c r="A364" s="131" t="s">
        <v>1244</v>
      </c>
      <c r="B364" s="718"/>
      <c r="C364" s="719" t="s">
        <v>37</v>
      </c>
      <c r="D364" s="720"/>
      <c r="E364" s="721"/>
      <c r="F364" s="719" t="s">
        <v>37</v>
      </c>
      <c r="G364" s="720"/>
      <c r="H364" s="721"/>
      <c r="I364" s="719" t="s">
        <v>37</v>
      </c>
      <c r="J364" s="722"/>
      <c r="K364" s="723"/>
      <c r="L364" s="724"/>
      <c r="M364" s="724"/>
      <c r="N364" s="725"/>
    </row>
    <row r="365" spans="1:80" hidden="1">
      <c r="B365" s="46"/>
      <c r="C365" s="726" t="s">
        <v>223</v>
      </c>
      <c r="D365" s="46" t="s">
        <v>1245</v>
      </c>
      <c r="E365" s="46"/>
      <c r="F365" s="726"/>
      <c r="G365" s="3" t="s">
        <v>1246</v>
      </c>
      <c r="J365" s="3" t="s">
        <v>1247</v>
      </c>
      <c r="AT365" s="3" t="str">
        <f>B366</f>
        <v>Foothills Skylar</v>
      </c>
      <c r="AU365" s="3">
        <f>J366</f>
        <v>1105.6218709496536</v>
      </c>
      <c r="BB365" s="166"/>
      <c r="BC365" s="115"/>
      <c r="BD365" s="115"/>
      <c r="BE365" s="166"/>
      <c r="BF365" s="115"/>
      <c r="BG365" s="115"/>
      <c r="BH365" s="166"/>
      <c r="BI365" s="115"/>
      <c r="BJ365" s="115"/>
      <c r="BK365" s="166"/>
      <c r="BL365" s="115"/>
      <c r="BM365" s="115"/>
      <c r="BN365" s="166"/>
      <c r="BO365" s="115"/>
      <c r="BP365" s="115"/>
      <c r="BQ365" s="166"/>
      <c r="BR365" s="115"/>
      <c r="BS365" s="115"/>
      <c r="BT365" s="166"/>
      <c r="BU365" s="115"/>
      <c r="BV365" s="115"/>
      <c r="BW365" s="166"/>
      <c r="BX365" s="115"/>
      <c r="BY365" s="115"/>
      <c r="BZ365" s="166"/>
      <c r="CA365" s="115"/>
      <c r="CB365" s="115"/>
    </row>
    <row r="366" spans="1:80" hidden="1">
      <c r="A366" s="3">
        <v>1</v>
      </c>
      <c r="B366" s="3" t="str">
        <f>B349</f>
        <v>Foothills Skylar</v>
      </c>
      <c r="C366" s="3">
        <f>VLOOKUP(B366,AU$2:AY$22,4,FALSE)</f>
        <v>1105.6218709496536</v>
      </c>
      <c r="D366" s="3">
        <f>IF(A366=B357,B372,IF(A366=D357,D372,C366))</f>
        <v>1105.6218709496536</v>
      </c>
      <c r="G366" s="3">
        <f>IF(A366=E357,E372,IF(A366=G357,G372,D366))</f>
        <v>1105.6218709496536</v>
      </c>
      <c r="J366" s="3">
        <f>IF(A366=H357,H372,IF(A366=J357,J372,G366))</f>
        <v>1105.6218709496536</v>
      </c>
      <c r="AT366" s="3" t="str">
        <f>B367</f>
        <v>4th Place Court 1</v>
      </c>
      <c r="AU366" s="3" t="e">
        <f>J367</f>
        <v>#N/A</v>
      </c>
      <c r="BB366" s="166"/>
      <c r="BC366" s="115"/>
      <c r="BD366" s="115"/>
      <c r="BE366" s="166"/>
      <c r="BF366" s="115"/>
      <c r="BG366" s="115"/>
      <c r="BH366" s="166"/>
      <c r="BI366" s="115"/>
      <c r="BJ366" s="115"/>
      <c r="BK366" s="166"/>
      <c r="BL366" s="115"/>
      <c r="BM366" s="115"/>
      <c r="BN366" s="166"/>
      <c r="BO366" s="115"/>
      <c r="BP366" s="115"/>
      <c r="BQ366" s="166"/>
      <c r="BR366" s="115"/>
      <c r="BS366" s="115"/>
      <c r="BT366" s="166"/>
      <c r="BU366" s="115"/>
      <c r="BV366" s="115"/>
      <c r="BW366" s="166"/>
      <c r="BX366" s="115"/>
      <c r="BY366" s="115"/>
      <c r="BZ366" s="166"/>
      <c r="CA366" s="115"/>
      <c r="CB366" s="115"/>
    </row>
    <row r="367" spans="1:80" hidden="1">
      <c r="A367" s="3">
        <v>2</v>
      </c>
      <c r="B367" s="3" t="str">
        <f>B350</f>
        <v>4th Place Court 1</v>
      </c>
      <c r="C367" s="3" t="e">
        <f>VLOOKUP(B367,AU$2:AY$22,4,FALSE)</f>
        <v>#N/A</v>
      </c>
      <c r="D367" s="3" t="e">
        <f>IF(A367=B357,B372,IF(A367=D357,D372,C367))</f>
        <v>#N/A</v>
      </c>
      <c r="G367" s="3" t="e">
        <f>IF(A367=E357,E372,IF(A367=G357,G372,D367))</f>
        <v>#N/A</v>
      </c>
      <c r="J367" s="3" t="e">
        <f>IF(A367=H357,H372,IF(A367=J357,J372,G367))</f>
        <v>#N/A</v>
      </c>
      <c r="AT367" s="3" t="str">
        <f>B368</f>
        <v>4th Place Court 2</v>
      </c>
      <c r="AU367" s="3" t="e">
        <f>J368</f>
        <v>#N/A</v>
      </c>
      <c r="BB367" s="166"/>
      <c r="BC367" s="115"/>
      <c r="BD367" s="115"/>
      <c r="BE367" s="166"/>
      <c r="BF367" s="115"/>
      <c r="BG367" s="115"/>
      <c r="BH367" s="166"/>
      <c r="BI367" s="115"/>
      <c r="BJ367" s="115"/>
      <c r="BK367" s="166"/>
      <c r="BL367" s="115"/>
      <c r="BM367" s="115"/>
      <c r="BN367" s="166"/>
      <c r="BO367" s="115"/>
      <c r="BP367" s="115"/>
      <c r="BQ367" s="166"/>
      <c r="BR367" s="115"/>
      <c r="BS367" s="115"/>
      <c r="BT367" s="166"/>
      <c r="BU367" s="115"/>
      <c r="BV367" s="115"/>
      <c r="BW367" s="166"/>
      <c r="BX367" s="115"/>
      <c r="BY367" s="115"/>
      <c r="BZ367" s="166"/>
      <c r="CA367" s="115"/>
      <c r="CB367" s="115"/>
    </row>
    <row r="368" spans="1:80" hidden="1">
      <c r="A368" s="3">
        <v>3</v>
      </c>
      <c r="B368" s="3" t="str">
        <f>B351</f>
        <v>4th Place Court 2</v>
      </c>
      <c r="C368" s="3" t="e">
        <f>VLOOKUP(B368,AU$2:AY$22,4,FALSE)</f>
        <v>#N/A</v>
      </c>
      <c r="D368" s="3" t="e">
        <f>IF(A368=B357,B372,IF(A368=D357,D372,C368))</f>
        <v>#N/A</v>
      </c>
      <c r="G368" s="3" t="e">
        <f>IF(A368=E357,E372,IF(A368=G357,G372,D368))</f>
        <v>#N/A</v>
      </c>
      <c r="J368" s="3" t="e">
        <f>IF(A368=H357,H372,IF(A368=J357,J372,G368))</f>
        <v>#N/A</v>
      </c>
      <c r="AT368" s="3" t="str">
        <f>B369</f>
        <v>BYE</v>
      </c>
      <c r="AU368" s="3" t="e">
        <f>J369</f>
        <v>#N/A</v>
      </c>
      <c r="BB368" s="166"/>
      <c r="BC368" s="115"/>
      <c r="BD368" s="115"/>
      <c r="BE368" s="166"/>
      <c r="BF368" s="115"/>
      <c r="BG368" s="115"/>
      <c r="BH368" s="166"/>
      <c r="BI368" s="115"/>
      <c r="BJ368" s="115"/>
      <c r="BK368" s="166"/>
      <c r="BL368" s="115"/>
      <c r="BM368" s="115"/>
      <c r="BN368" s="166"/>
      <c r="BO368" s="115"/>
      <c r="BP368" s="115"/>
      <c r="BQ368" s="166"/>
      <c r="BR368" s="115"/>
      <c r="BS368" s="115"/>
      <c r="BT368" s="166"/>
      <c r="BU368" s="115"/>
      <c r="BV368" s="115"/>
      <c r="BW368" s="166"/>
      <c r="BX368" s="115"/>
      <c r="BY368" s="115"/>
      <c r="BZ368" s="166"/>
      <c r="CA368" s="115"/>
      <c r="CB368" s="115"/>
    </row>
    <row r="369" spans="1:80" hidden="1">
      <c r="A369" s="3">
        <v>4</v>
      </c>
      <c r="B369" s="3" t="str">
        <f>B352</f>
        <v>BYE</v>
      </c>
      <c r="C369" s="3" t="e">
        <f>VLOOKUP(B369,AU$2:AY$22,4,FALSE)</f>
        <v>#N/A</v>
      </c>
      <c r="D369" s="3" t="e">
        <f>IF(A369=B357,B372,IF(A369=D357,D372,C369))</f>
        <v>#N/A</v>
      </c>
      <c r="G369" s="3" t="e">
        <f>IF(A369=E357,E372,IF(A369=G357,G372,D369))</f>
        <v>#N/A</v>
      </c>
      <c r="J369" s="3" t="e">
        <f>IF(A369=H357,H372,IF(A369=J357,J372,G369))</f>
        <v>#N/A</v>
      </c>
      <c r="AT369" s="3">
        <f>X366</f>
        <v>0</v>
      </c>
      <c r="AU369" s="3">
        <f>AF366</f>
        <v>0</v>
      </c>
      <c r="BB369" s="166"/>
      <c r="BC369" s="115"/>
      <c r="BD369" s="115"/>
      <c r="BE369" s="166"/>
      <c r="BF369" s="115"/>
      <c r="BG369" s="115"/>
      <c r="BH369" s="166"/>
      <c r="BI369" s="115"/>
      <c r="BJ369" s="115"/>
      <c r="BK369" s="166"/>
      <c r="BL369" s="115"/>
      <c r="BM369" s="115"/>
      <c r="BN369" s="166"/>
      <c r="BO369" s="115"/>
      <c r="BP369" s="115"/>
      <c r="BQ369" s="166"/>
      <c r="BR369" s="115"/>
      <c r="BS369" s="115"/>
      <c r="BT369" s="166"/>
      <c r="BU369" s="115"/>
      <c r="BV369" s="115"/>
      <c r="BW369" s="166"/>
      <c r="BX369" s="115"/>
      <c r="BY369" s="115"/>
      <c r="BZ369" s="166"/>
      <c r="CA369" s="115"/>
      <c r="CB369" s="115"/>
    </row>
    <row r="370" spans="1:80" hidden="1">
      <c r="A370" s="3" t="s">
        <v>225</v>
      </c>
      <c r="B370" s="3">
        <f>VLOOKUP(B357,$A366:$J369,3,FALSE)</f>
        <v>1105.6218709496536</v>
      </c>
      <c r="D370" s="3">
        <f>IF(AND(D357&lt;&gt;"b", D357&lt;&gt;"B"),VLOOKUP(D357,$A366:$J369,3,FALSE),0)</f>
        <v>0</v>
      </c>
      <c r="E370" s="3" t="e">
        <f>VLOOKUP(E357,$A366:$J369,4,FALSE)</f>
        <v>#N/A</v>
      </c>
      <c r="G370" s="3" t="e">
        <f>VLOOKUP(G357,$A366:$J369,4,FALSE)</f>
        <v>#N/A</v>
      </c>
      <c r="H370" s="3">
        <f>VLOOKUP(H357,$A366:$J369,7,FALSE)</f>
        <v>1105.6218709496536</v>
      </c>
      <c r="J370" s="3" t="e">
        <f>VLOOKUP(J357,$A366:$J369,7,FALSE)</f>
        <v>#N/A</v>
      </c>
      <c r="AT370" s="3">
        <f>X367</f>
        <v>0</v>
      </c>
      <c r="AU370" s="3">
        <f>AF367</f>
        <v>0</v>
      </c>
      <c r="BB370" s="166"/>
      <c r="BC370" s="115"/>
      <c r="BD370" s="115"/>
      <c r="BE370" s="166"/>
      <c r="BF370" s="115"/>
      <c r="BG370" s="115"/>
      <c r="BH370" s="166"/>
      <c r="BI370" s="115"/>
      <c r="BJ370" s="115"/>
      <c r="BK370" s="166"/>
      <c r="BL370" s="115"/>
      <c r="BM370" s="115"/>
      <c r="BN370" s="166"/>
      <c r="BO370" s="115"/>
      <c r="BP370" s="115"/>
      <c r="BQ370" s="166"/>
      <c r="BR370" s="115"/>
      <c r="BS370" s="115"/>
      <c r="BT370" s="166"/>
      <c r="BU370" s="115"/>
      <c r="BV370" s="115"/>
      <c r="BW370" s="166"/>
      <c r="BX370" s="115"/>
      <c r="BY370" s="115"/>
      <c r="BZ370" s="166"/>
      <c r="CA370" s="115"/>
      <c r="CB370" s="115"/>
    </row>
    <row r="371" spans="1:80" hidden="1">
      <c r="A371" s="173" t="s">
        <v>226</v>
      </c>
      <c r="B371" s="173">
        <f>IF(OR(B361&gt;0,D361&gt;0),1/(1+(10^-((B370-D370)/400)))*(B361+D361),0)</f>
        <v>0</v>
      </c>
      <c r="C371" s="173"/>
      <c r="D371" s="173" t="b">
        <f>IF(OR(B361&gt;0,D361&gt;0),1/(1+(10^-((D370-B370)/400)))*(B361+D361))</f>
        <v>0</v>
      </c>
      <c r="E371" s="173">
        <f>IF(OR(E361&gt;0,G361&gt;0),1/(1+(10^-((E370-G370)/400)))*(E361+G361),0)</f>
        <v>0</v>
      </c>
      <c r="F371" s="173"/>
      <c r="G371" s="173" t="b">
        <f>IF(OR(E361&gt;0,G361&gt;0),1/(1+(10^-((G370-E370)/400)))*(E361+G361))</f>
        <v>0</v>
      </c>
      <c r="H371" s="173">
        <f>IF(OR(H361&gt;0,J361&gt;0),1/(1+(10^-((H370-J370)/400)))*(H361+J361),0)</f>
        <v>0</v>
      </c>
      <c r="I371" s="173"/>
      <c r="J371" s="173" t="b">
        <f>IF(OR(H361&gt;0,J361&gt;0),1/(1+(10^-((J370-H370)/400)))*(H361+J361))</f>
        <v>0</v>
      </c>
      <c r="K371" s="173"/>
      <c r="AT371" s="3">
        <f>X368</f>
        <v>0</v>
      </c>
      <c r="AU371" s="3">
        <f>AF368</f>
        <v>0</v>
      </c>
      <c r="AW371" s="166"/>
      <c r="AX371" s="115"/>
      <c r="AY371" s="115"/>
      <c r="AZ371" s="115"/>
      <c r="BA371" s="115"/>
      <c r="BB371" s="166"/>
      <c r="BC371" s="115"/>
      <c r="BD371" s="115"/>
      <c r="BE371" s="166"/>
      <c r="BF371" s="115"/>
      <c r="BG371" s="115"/>
      <c r="BH371" s="166"/>
      <c r="BI371" s="115"/>
      <c r="BJ371" s="115"/>
      <c r="BK371" s="166"/>
      <c r="BL371" s="115"/>
      <c r="BM371" s="115"/>
      <c r="BN371" s="166"/>
      <c r="BO371" s="115"/>
      <c r="BP371" s="115"/>
      <c r="BQ371" s="166"/>
      <c r="BR371" s="115"/>
      <c r="BS371" s="115"/>
      <c r="BT371" s="166"/>
      <c r="BU371" s="115"/>
      <c r="BV371" s="115"/>
      <c r="BW371" s="166"/>
      <c r="BX371" s="115"/>
      <c r="BY371" s="115"/>
      <c r="BZ371" s="166"/>
      <c r="CA371" s="115"/>
      <c r="CB371" s="115"/>
    </row>
    <row r="372" spans="1:80" hidden="1">
      <c r="A372" s="179" t="s">
        <v>227</v>
      </c>
      <c r="B372" s="179">
        <f>B370+(B361-B371)*$BA$2</f>
        <v>1105.6218709496536</v>
      </c>
      <c r="C372" s="179"/>
      <c r="D372" s="179">
        <f>D370+(D361-D371)*$BA$2</f>
        <v>0</v>
      </c>
      <c r="E372" s="179" t="e">
        <f>E370+(E361-E371)*$BA$2</f>
        <v>#N/A</v>
      </c>
      <c r="G372" s="179" t="e">
        <f>G370+(G361-G371)*$BA$2</f>
        <v>#N/A</v>
      </c>
      <c r="H372" s="179">
        <f>H370+(H361-H371)*$BA$2</f>
        <v>1105.6218709496536</v>
      </c>
      <c r="J372" s="179" t="e">
        <f>J370+(J361-J371)*$BA$2</f>
        <v>#N/A</v>
      </c>
      <c r="K372" s="179"/>
      <c r="AT372" s="3">
        <f>X369</f>
        <v>0</v>
      </c>
      <c r="AU372" s="3">
        <f>AF369</f>
        <v>0</v>
      </c>
      <c r="AW372" s="166"/>
      <c r="AX372" s="115"/>
      <c r="AY372" s="115"/>
      <c r="AZ372" s="115"/>
      <c r="BA372" s="115"/>
      <c r="BB372" s="166"/>
      <c r="BC372" s="115"/>
      <c r="BD372" s="115"/>
      <c r="BE372" s="166"/>
      <c r="BF372" s="115"/>
      <c r="BG372" s="115"/>
      <c r="BH372" s="166"/>
      <c r="BI372" s="115"/>
      <c r="BJ372" s="115"/>
      <c r="BK372" s="166"/>
      <c r="BL372" s="115"/>
      <c r="BM372" s="115"/>
      <c r="BN372" s="166"/>
      <c r="BO372" s="115"/>
      <c r="BP372" s="115"/>
      <c r="BQ372" s="166"/>
      <c r="BR372" s="115"/>
      <c r="BS372" s="115"/>
      <c r="BT372" s="166"/>
      <c r="BU372" s="115"/>
      <c r="BV372" s="115"/>
      <c r="BW372" s="166"/>
      <c r="BX372" s="115"/>
      <c r="BY372" s="115"/>
      <c r="BZ372" s="166"/>
      <c r="CA372" s="115"/>
      <c r="CB372" s="115"/>
    </row>
    <row r="373" spans="1:80">
      <c r="A373" s="731" t="s">
        <v>1248</v>
      </c>
      <c r="B373" s="731"/>
      <c r="C373" s="731"/>
      <c r="D373" s="731"/>
      <c r="E373" s="731"/>
      <c r="F373" s="731"/>
      <c r="G373" s="731"/>
      <c r="H373" s="731"/>
      <c r="I373" s="731"/>
      <c r="J373" s="731"/>
      <c r="K373" s="731"/>
      <c r="L373" s="731"/>
      <c r="M373" s="731"/>
      <c r="N373" s="731"/>
      <c r="AW373" s="166"/>
      <c r="AX373" s="115"/>
      <c r="AY373" s="115"/>
      <c r="AZ373" s="115"/>
      <c r="BA373" s="115"/>
    </row>
    <row r="374" spans="1:80">
      <c r="AW374" s="166"/>
      <c r="AX374" s="115"/>
      <c r="AY374" s="115"/>
      <c r="AZ374" s="115"/>
      <c r="BA374" s="115"/>
    </row>
    <row r="375" spans="1:80">
      <c r="AW375" s="166"/>
      <c r="AX375" s="115"/>
      <c r="AY375" s="115"/>
      <c r="AZ375" s="115"/>
      <c r="BA375" s="115"/>
    </row>
    <row r="376" spans="1:80">
      <c r="AW376" s="166"/>
      <c r="AX376" s="115"/>
      <c r="AY376" s="115"/>
      <c r="AZ376" s="115"/>
      <c r="BA376" s="115"/>
    </row>
    <row r="377" spans="1:80">
      <c r="AW377" s="166"/>
      <c r="AX377" s="115"/>
      <c r="AY377" s="115"/>
      <c r="AZ377" s="115"/>
      <c r="BA377" s="115"/>
    </row>
    <row r="378" spans="1:80">
      <c r="AW378" s="166"/>
      <c r="AX378" s="115"/>
      <c r="AY378" s="115"/>
      <c r="AZ378" s="115"/>
      <c r="BA378" s="115"/>
    </row>
    <row r="379" spans="1:80">
      <c r="AS379" s="120"/>
      <c r="AT379" s="120"/>
      <c r="AW379" s="166"/>
      <c r="AX379" s="115"/>
      <c r="AY379" s="115"/>
      <c r="AZ379" s="115"/>
      <c r="BA379" s="115"/>
    </row>
    <row r="380" spans="1:80">
      <c r="AW380" s="166"/>
      <c r="AX380" s="115"/>
      <c r="AY380" s="115"/>
      <c r="AZ380" s="115"/>
      <c r="BA380" s="115"/>
    </row>
    <row r="381" spans="1:80">
      <c r="AW381" s="166"/>
      <c r="AX381" s="115"/>
      <c r="AY381" s="115"/>
      <c r="AZ381" s="115"/>
      <c r="BA381" s="115"/>
    </row>
    <row r="382" spans="1:80">
      <c r="AW382" s="166"/>
      <c r="AX382" s="115"/>
      <c r="AY382" s="115"/>
      <c r="AZ382" s="115"/>
      <c r="BA382" s="115"/>
    </row>
    <row r="383" spans="1:80">
      <c r="AW383" s="166"/>
      <c r="AX383" s="115"/>
      <c r="AY383" s="115"/>
      <c r="AZ383" s="115"/>
      <c r="BA383" s="115"/>
    </row>
    <row r="384" spans="1:80">
      <c r="AW384" s="166"/>
      <c r="AX384" s="115"/>
      <c r="AY384" s="115"/>
      <c r="AZ384" s="115"/>
      <c r="BA384" s="115"/>
    </row>
    <row r="385" spans="49:53">
      <c r="AW385" s="166"/>
      <c r="AX385" s="115"/>
      <c r="AY385" s="115"/>
      <c r="AZ385" s="115"/>
      <c r="BA385" s="115"/>
    </row>
    <row r="386" spans="49:53">
      <c r="AW386" s="166"/>
      <c r="AX386" s="115"/>
      <c r="AY386" s="115"/>
      <c r="AZ386" s="115"/>
      <c r="BA386" s="115"/>
    </row>
    <row r="387" spans="49:53">
      <c r="AW387" s="166"/>
      <c r="AX387" s="115"/>
      <c r="AY387" s="115"/>
      <c r="AZ387" s="115"/>
      <c r="BA387" s="115"/>
    </row>
    <row r="388" spans="49:53">
      <c r="AW388" s="166"/>
      <c r="AX388" s="115"/>
      <c r="AY388" s="115"/>
      <c r="AZ388" s="115"/>
      <c r="BA388" s="115"/>
    </row>
    <row r="389" spans="49:53">
      <c r="AW389" s="166"/>
      <c r="AX389" s="115"/>
      <c r="AY389" s="115"/>
      <c r="AZ389" s="115"/>
      <c r="BA389" s="115"/>
    </row>
    <row r="390" spans="49:53">
      <c r="AW390" s="166"/>
      <c r="AX390" s="115"/>
      <c r="AY390" s="115"/>
      <c r="AZ390" s="115"/>
      <c r="BA390" s="115"/>
    </row>
    <row r="391" spans="49:53">
      <c r="AW391" s="166"/>
      <c r="AX391" s="115"/>
      <c r="AY391" s="115"/>
      <c r="AZ391" s="115"/>
      <c r="BA391" s="115"/>
    </row>
    <row r="392" spans="49:53">
      <c r="AW392" s="166"/>
      <c r="AX392" s="115"/>
      <c r="AY392" s="115"/>
      <c r="AZ392" s="115"/>
      <c r="BA392" s="115"/>
    </row>
    <row r="393" spans="49:53">
      <c r="AW393" s="166"/>
      <c r="AX393" s="115"/>
      <c r="AY393" s="115"/>
      <c r="AZ393" s="115"/>
      <c r="BA393" s="115"/>
    </row>
    <row r="394" spans="49:53">
      <c r="AW394" s="166"/>
      <c r="AX394" s="115"/>
      <c r="AY394" s="115"/>
      <c r="AZ394" s="115"/>
      <c r="BA394" s="115"/>
    </row>
    <row r="395" spans="49:53">
      <c r="AW395" s="166"/>
      <c r="AX395" s="115"/>
      <c r="AY395" s="115"/>
      <c r="AZ395" s="115"/>
      <c r="BA395" s="115"/>
    </row>
    <row r="396" spans="49:53">
      <c r="AW396" s="166"/>
      <c r="AX396" s="115"/>
      <c r="AY396" s="115"/>
      <c r="AZ396" s="115"/>
      <c r="BA396" s="115"/>
    </row>
    <row r="397" spans="49:53">
      <c r="AW397" s="166"/>
      <c r="AX397" s="115"/>
      <c r="AY397" s="115"/>
      <c r="AZ397" s="115"/>
      <c r="BA397" s="115"/>
    </row>
    <row r="398" spans="49:53">
      <c r="AW398" s="166"/>
      <c r="AX398" s="115"/>
      <c r="AY398" s="115"/>
      <c r="AZ398" s="115"/>
      <c r="BA398" s="115"/>
    </row>
    <row r="399" spans="49:53">
      <c r="AW399" s="166"/>
      <c r="AX399" s="115"/>
      <c r="AY399" s="115"/>
      <c r="AZ399" s="115"/>
      <c r="BA399" s="115"/>
    </row>
    <row r="400" spans="49:53">
      <c r="AW400" s="166"/>
      <c r="AX400" s="115"/>
      <c r="AY400" s="115"/>
      <c r="AZ400" s="115"/>
      <c r="BA400" s="115"/>
    </row>
    <row r="401" spans="45:53">
      <c r="AW401" s="166"/>
      <c r="AX401" s="115"/>
      <c r="AY401" s="115"/>
      <c r="AZ401" s="115"/>
      <c r="BA401" s="115"/>
    </row>
    <row r="402" spans="45:53">
      <c r="AW402" s="166"/>
      <c r="AX402" s="115"/>
      <c r="AY402" s="115"/>
      <c r="AZ402" s="115"/>
      <c r="BA402" s="115"/>
    </row>
    <row r="403" spans="45:53">
      <c r="AW403" s="166"/>
      <c r="AX403" s="115"/>
      <c r="AY403" s="115"/>
      <c r="AZ403" s="115"/>
      <c r="BA403" s="115"/>
    </row>
    <row r="404" spans="45:53">
      <c r="AW404" s="166"/>
      <c r="AX404" s="115"/>
      <c r="AY404" s="115"/>
      <c r="AZ404" s="115"/>
      <c r="BA404" s="115"/>
    </row>
    <row r="405" spans="45:53">
      <c r="AW405" s="166"/>
      <c r="AX405" s="115"/>
      <c r="AY405" s="115"/>
      <c r="AZ405" s="115"/>
      <c r="BA405" s="115"/>
    </row>
    <row r="406" spans="45:53">
      <c r="AW406" s="166"/>
      <c r="AX406" s="115"/>
      <c r="AY406" s="115"/>
      <c r="AZ406" s="115"/>
      <c r="BA406" s="115"/>
    </row>
    <row r="407" spans="45:53">
      <c r="AW407" s="166"/>
      <c r="AX407" s="115"/>
      <c r="AY407" s="115"/>
      <c r="AZ407" s="115"/>
      <c r="BA407" s="115"/>
    </row>
    <row r="408" spans="45:53">
      <c r="AW408" s="166"/>
      <c r="AX408" s="115"/>
      <c r="AY408" s="115"/>
      <c r="AZ408" s="115"/>
      <c r="BA408" s="115"/>
    </row>
    <row r="409" spans="45:53">
      <c r="AW409" s="166"/>
      <c r="AX409" s="115"/>
      <c r="AY409" s="115"/>
      <c r="AZ409" s="115"/>
      <c r="BA409" s="115"/>
    </row>
    <row r="410" spans="45:53">
      <c r="AW410" s="166"/>
      <c r="AX410" s="115"/>
      <c r="AY410" s="115"/>
      <c r="AZ410" s="115"/>
      <c r="BA410" s="115"/>
    </row>
    <row r="411" spans="45:53">
      <c r="AW411" s="166"/>
      <c r="AX411" s="115"/>
      <c r="AY411" s="115"/>
      <c r="AZ411" s="115"/>
      <c r="BA411" s="115"/>
    </row>
    <row r="412" spans="45:53">
      <c r="AW412" s="166"/>
      <c r="AX412" s="115"/>
      <c r="AY412" s="115"/>
      <c r="AZ412" s="115"/>
      <c r="BA412" s="115"/>
    </row>
    <row r="413" spans="45:53">
      <c r="AW413" s="166"/>
      <c r="AX413" s="115"/>
      <c r="AY413" s="115"/>
      <c r="AZ413" s="115"/>
      <c r="BA413" s="115"/>
    </row>
    <row r="414" spans="45:53">
      <c r="AW414" s="166"/>
      <c r="AX414" s="115"/>
      <c r="AY414" s="115"/>
      <c r="AZ414" s="115"/>
      <c r="BA414" s="115"/>
    </row>
    <row r="415" spans="45:53">
      <c r="AS415" s="120"/>
      <c r="AT415" s="120"/>
      <c r="AW415" s="166"/>
      <c r="AX415" s="115"/>
      <c r="AY415" s="115"/>
      <c r="AZ415" s="115"/>
      <c r="BA415" s="115"/>
    </row>
    <row r="416" spans="45:53">
      <c r="AW416" s="166"/>
      <c r="AX416" s="115"/>
      <c r="AY416" s="115"/>
      <c r="AZ416" s="115"/>
      <c r="BA416" s="115"/>
    </row>
    <row r="418" spans="49:53">
      <c r="AW418" s="170"/>
      <c r="AX418" s="117"/>
      <c r="AY418" s="117"/>
      <c r="AZ418" s="117"/>
      <c r="BA418" s="117"/>
    </row>
    <row r="419" spans="49:53">
      <c r="AW419" s="170"/>
      <c r="AX419" s="117"/>
      <c r="AY419" s="117"/>
      <c r="AZ419" s="117"/>
      <c r="BA419" s="117"/>
    </row>
    <row r="420" spans="49:53">
      <c r="AW420" s="170"/>
      <c r="AX420" s="117"/>
      <c r="AY420" s="117"/>
      <c r="AZ420" s="117"/>
      <c r="BA420" s="117"/>
    </row>
    <row r="421" spans="49:53">
      <c r="AW421" s="170"/>
      <c r="AX421" s="117"/>
      <c r="AY421" s="117"/>
      <c r="AZ421" s="117"/>
      <c r="BA421" s="117"/>
    </row>
    <row r="422" spans="49:53">
      <c r="AW422" s="170"/>
      <c r="AX422" s="117"/>
      <c r="AY422" s="117"/>
      <c r="AZ422" s="117"/>
      <c r="BA422" s="117"/>
    </row>
    <row r="423" spans="49:53">
      <c r="AW423" s="170"/>
      <c r="AX423" s="117"/>
      <c r="AY423" s="117"/>
      <c r="AZ423" s="117"/>
      <c r="BA423" s="117"/>
    </row>
    <row r="424" spans="49:53">
      <c r="AW424" s="170"/>
      <c r="AX424" s="117"/>
      <c r="AY424" s="117"/>
      <c r="AZ424" s="117"/>
      <c r="BA424" s="117"/>
    </row>
    <row r="425" spans="49:53">
      <c r="AW425" s="170"/>
      <c r="AX425" s="117"/>
      <c r="AY425" s="117"/>
      <c r="AZ425" s="117"/>
      <c r="BA425" s="117"/>
    </row>
    <row r="426" spans="49:53">
      <c r="AW426" s="177"/>
      <c r="AX426" s="176"/>
      <c r="AY426" s="176"/>
      <c r="AZ426" s="176"/>
      <c r="BA426" s="176"/>
    </row>
    <row r="427" spans="49:53">
      <c r="AW427" s="183"/>
      <c r="AX427" s="182"/>
      <c r="AY427" s="182"/>
      <c r="AZ427" s="182"/>
      <c r="BA427" s="182"/>
    </row>
    <row r="428" spans="49:53">
      <c r="AW428" s="183"/>
      <c r="AX428" s="182"/>
      <c r="AY428" s="182"/>
      <c r="AZ428" s="182"/>
      <c r="BA428" s="182"/>
    </row>
    <row r="429" spans="49:53">
      <c r="AW429" s="170"/>
      <c r="AX429" s="117"/>
      <c r="AY429" s="117"/>
      <c r="AZ429" s="117"/>
      <c r="BA429" s="117"/>
    </row>
    <row r="430" spans="49:53">
      <c r="AW430" s="170"/>
      <c r="AX430" s="117"/>
      <c r="AY430" s="117"/>
      <c r="AZ430" s="117"/>
      <c r="BA430" s="117"/>
    </row>
    <row r="488" spans="49:49">
      <c r="AW488" s="3"/>
    </row>
    <row r="489" spans="49:49">
      <c r="AW489" s="3"/>
    </row>
    <row r="490" spans="49:49">
      <c r="AW490" s="3"/>
    </row>
    <row r="491" spans="49:49">
      <c r="AW491" s="3"/>
    </row>
    <row r="492" spans="49:49">
      <c r="AW492" s="3"/>
    </row>
    <row r="493" spans="49:49">
      <c r="AW493" s="3"/>
    </row>
    <row r="494" spans="49:49">
      <c r="AW494" s="3"/>
    </row>
    <row r="495" spans="49:49">
      <c r="AW495" s="3"/>
    </row>
    <row r="496" spans="49:49">
      <c r="AW496" s="3"/>
    </row>
    <row r="542" spans="49:49">
      <c r="AW542" s="3"/>
    </row>
    <row r="543" spans="49:49">
      <c r="AW543" s="3"/>
    </row>
    <row r="544" spans="49:49">
      <c r="AW544" s="3"/>
    </row>
    <row r="545" spans="49:49">
      <c r="AW545" s="3"/>
    </row>
    <row r="546" spans="49:49">
      <c r="AW546" s="3"/>
    </row>
    <row r="547" spans="49:49">
      <c r="AW547" s="3"/>
    </row>
    <row r="548" spans="49:49">
      <c r="AW548" s="3"/>
    </row>
    <row r="549" spans="49:49">
      <c r="AW549" s="3"/>
    </row>
    <row r="550" spans="49:49">
      <c r="AW550" s="3"/>
    </row>
    <row r="596" spans="49:49">
      <c r="AW596" s="3"/>
    </row>
    <row r="597" spans="49:49">
      <c r="AW597" s="3"/>
    </row>
    <row r="598" spans="49:49">
      <c r="AW598" s="3"/>
    </row>
    <row r="599" spans="49:49">
      <c r="AW599" s="3"/>
    </row>
    <row r="600" spans="49:49">
      <c r="AW600" s="3"/>
    </row>
    <row r="601" spans="49:49">
      <c r="AW601" s="3"/>
    </row>
    <row r="602" spans="49:49">
      <c r="AW602" s="3"/>
    </row>
    <row r="603" spans="49:49">
      <c r="AW603" s="3"/>
    </row>
    <row r="604" spans="49:49">
      <c r="AW604" s="3"/>
    </row>
    <row r="650" spans="49:49">
      <c r="AW650" s="3"/>
    </row>
    <row r="651" spans="49:49">
      <c r="AW651" s="3"/>
    </row>
    <row r="652" spans="49:49">
      <c r="AW652" s="3"/>
    </row>
    <row r="653" spans="49:49">
      <c r="AW653" s="3"/>
    </row>
    <row r="654" spans="49:49">
      <c r="AW654" s="3"/>
    </row>
    <row r="655" spans="49:49">
      <c r="AW655" s="3"/>
    </row>
    <row r="656" spans="49:49">
      <c r="AW656" s="3"/>
    </row>
    <row r="657" spans="49:49">
      <c r="AW657" s="3"/>
    </row>
    <row r="658" spans="49:49">
      <c r="AW658" s="3"/>
    </row>
  </sheetData>
  <sheetProtection sheet="1" objects="1" scenarios="1" formatCells="0" selectLockedCells="1"/>
  <mergeCells count="669">
    <mergeCell ref="K357:N357"/>
    <mergeCell ref="K362:N364"/>
    <mergeCell ref="A373:N373"/>
    <mergeCell ref="B354:D354"/>
    <mergeCell ref="E354:G354"/>
    <mergeCell ref="H354:J354"/>
    <mergeCell ref="K354:Q356"/>
    <mergeCell ref="B355:D355"/>
    <mergeCell ref="E355:G355"/>
    <mergeCell ref="H355:J355"/>
    <mergeCell ref="B356:D356"/>
    <mergeCell ref="E356:G356"/>
    <mergeCell ref="H356:J356"/>
    <mergeCell ref="B350:J350"/>
    <mergeCell ref="K350:Q350"/>
    <mergeCell ref="B351:J351"/>
    <mergeCell ref="K351:Q351"/>
    <mergeCell ref="B352:J352"/>
    <mergeCell ref="K352:Q352"/>
    <mergeCell ref="A343:E343"/>
    <mergeCell ref="A344:E344"/>
    <mergeCell ref="A347:J347"/>
    <mergeCell ref="B348:J348"/>
    <mergeCell ref="K348:Q348"/>
    <mergeCell ref="B349:J349"/>
    <mergeCell ref="K349:Q349"/>
    <mergeCell ref="A339:E339"/>
    <mergeCell ref="J339:Q339"/>
    <mergeCell ref="A341:E341"/>
    <mergeCell ref="F341:I341"/>
    <mergeCell ref="J341:N341"/>
    <mergeCell ref="A342:E342"/>
    <mergeCell ref="F342:N342"/>
    <mergeCell ref="A335:E335"/>
    <mergeCell ref="F336:I336"/>
    <mergeCell ref="J337:Q337"/>
    <mergeCell ref="A338:E338"/>
    <mergeCell ref="F338:I338"/>
    <mergeCell ref="J338:Q338"/>
    <mergeCell ref="A332:D332"/>
    <mergeCell ref="F332:N332"/>
    <mergeCell ref="A333:E333"/>
    <mergeCell ref="F333:I333"/>
    <mergeCell ref="J333:N333"/>
    <mergeCell ref="A334:E334"/>
    <mergeCell ref="U324:W324"/>
    <mergeCell ref="A325:N325"/>
    <mergeCell ref="W325:AH325"/>
    <mergeCell ref="A327:P327"/>
    <mergeCell ref="A329:E329"/>
    <mergeCell ref="A330:E330"/>
    <mergeCell ref="U312:W312"/>
    <mergeCell ref="U313:W313"/>
    <mergeCell ref="K314:N316"/>
    <mergeCell ref="AG314:AH316"/>
    <mergeCell ref="U322:W322"/>
    <mergeCell ref="U323:W323"/>
    <mergeCell ref="AD308:AF308"/>
    <mergeCell ref="K309:N309"/>
    <mergeCell ref="U309:W309"/>
    <mergeCell ref="AG309:AH309"/>
    <mergeCell ref="U310:W310"/>
    <mergeCell ref="U311:W311"/>
    <mergeCell ref="B308:D308"/>
    <mergeCell ref="E308:G308"/>
    <mergeCell ref="H308:J308"/>
    <mergeCell ref="U308:W308"/>
    <mergeCell ref="X308:Z308"/>
    <mergeCell ref="AA308:AC308"/>
    <mergeCell ref="AA306:AC306"/>
    <mergeCell ref="AD306:AF306"/>
    <mergeCell ref="AG306:AK308"/>
    <mergeCell ref="B307:D307"/>
    <mergeCell ref="E307:G307"/>
    <mergeCell ref="H307:J307"/>
    <mergeCell ref="U307:W307"/>
    <mergeCell ref="X307:Z307"/>
    <mergeCell ref="AA307:AC307"/>
    <mergeCell ref="AD307:AF307"/>
    <mergeCell ref="B304:J304"/>
    <mergeCell ref="K304:Q304"/>
    <mergeCell ref="V304:X304"/>
    <mergeCell ref="Y304:AG304"/>
    <mergeCell ref="AH304:AN304"/>
    <mergeCell ref="B306:D306"/>
    <mergeCell ref="E306:G306"/>
    <mergeCell ref="H306:J306"/>
    <mergeCell ref="K306:Q308"/>
    <mergeCell ref="X306:Z306"/>
    <mergeCell ref="B302:J302"/>
    <mergeCell ref="K302:Q302"/>
    <mergeCell ref="V302:X302"/>
    <mergeCell ref="Y302:AG302"/>
    <mergeCell ref="AH302:AN302"/>
    <mergeCell ref="B303:J303"/>
    <mergeCell ref="K303:Q303"/>
    <mergeCell ref="V303:X303"/>
    <mergeCell ref="Y303:AG303"/>
    <mergeCell ref="AH303:AN303"/>
    <mergeCell ref="B300:J300"/>
    <mergeCell ref="K300:Q300"/>
    <mergeCell ref="V300:X300"/>
    <mergeCell ref="Y300:AG300"/>
    <mergeCell ref="AH300:AN300"/>
    <mergeCell ref="B301:J301"/>
    <mergeCell ref="K301:Q301"/>
    <mergeCell ref="V301:X301"/>
    <mergeCell ref="Y301:AG301"/>
    <mergeCell ref="AH301:AN301"/>
    <mergeCell ref="A295:E295"/>
    <mergeCell ref="W295:AC295"/>
    <mergeCell ref="A296:E296"/>
    <mergeCell ref="W296:AC296"/>
    <mergeCell ref="A299:J299"/>
    <mergeCell ref="V299:AG299"/>
    <mergeCell ref="AD293:AG293"/>
    <mergeCell ref="AH293:AJ293"/>
    <mergeCell ref="A294:E294"/>
    <mergeCell ref="F294:O294"/>
    <mergeCell ref="V294:AB294"/>
    <mergeCell ref="AD294:AJ294"/>
    <mergeCell ref="A291:E291"/>
    <mergeCell ref="J291:R291"/>
    <mergeCell ref="W291:AC291"/>
    <mergeCell ref="A293:D293"/>
    <mergeCell ref="F293:I293"/>
    <mergeCell ref="J293:O293"/>
    <mergeCell ref="V293:AB293"/>
    <mergeCell ref="J289:Q289"/>
    <mergeCell ref="AH289:AM289"/>
    <mergeCell ref="A290:E290"/>
    <mergeCell ref="F290:I290"/>
    <mergeCell ref="J290:Q290"/>
    <mergeCell ref="W290:AC290"/>
    <mergeCell ref="AD290:AG290"/>
    <mergeCell ref="AH290:AM290"/>
    <mergeCell ref="A286:E286"/>
    <mergeCell ref="W286:AC286"/>
    <mergeCell ref="A287:E287"/>
    <mergeCell ref="W287:AC287"/>
    <mergeCell ref="F288:I288"/>
    <mergeCell ref="AD288:AG288"/>
    <mergeCell ref="AD284:AJ284"/>
    <mergeCell ref="A285:E285"/>
    <mergeCell ref="F285:I285"/>
    <mergeCell ref="J285:O285"/>
    <mergeCell ref="V285:AB285"/>
    <mergeCell ref="AD285:AG285"/>
    <mergeCell ref="AH285:AJ285"/>
    <mergeCell ref="A281:E281"/>
    <mergeCell ref="W281:AC281"/>
    <mergeCell ref="A282:E282"/>
    <mergeCell ref="W282:AC282"/>
    <mergeCell ref="A284:E284"/>
    <mergeCell ref="F284:O284"/>
    <mergeCell ref="V284:AC284"/>
    <mergeCell ref="A273:AQ273"/>
    <mergeCell ref="A274:AR274"/>
    <mergeCell ref="A275:AR275"/>
    <mergeCell ref="A276:AR276"/>
    <mergeCell ref="A277:L277"/>
    <mergeCell ref="A279:P279"/>
    <mergeCell ref="S279:AG279"/>
    <mergeCell ref="AH270:AM270"/>
    <mergeCell ref="AN270:AP270"/>
    <mergeCell ref="B271:H271"/>
    <mergeCell ref="I271:L271"/>
    <mergeCell ref="M271:S271"/>
    <mergeCell ref="T271:W271"/>
    <mergeCell ref="X271:AE271"/>
    <mergeCell ref="AF271:AG271"/>
    <mergeCell ref="AH271:AM271"/>
    <mergeCell ref="AN271:AP271"/>
    <mergeCell ref="B270:H270"/>
    <mergeCell ref="I270:L270"/>
    <mergeCell ref="M270:S270"/>
    <mergeCell ref="T270:W270"/>
    <mergeCell ref="X270:AE270"/>
    <mergeCell ref="AF270:AG270"/>
    <mergeCell ref="AH268:AM268"/>
    <mergeCell ref="AN268:AP268"/>
    <mergeCell ref="B269:H269"/>
    <mergeCell ref="I269:L269"/>
    <mergeCell ref="M269:S269"/>
    <mergeCell ref="T269:W269"/>
    <mergeCell ref="X269:AE269"/>
    <mergeCell ref="AF269:AG269"/>
    <mergeCell ref="AH269:AM269"/>
    <mergeCell ref="AN269:AP269"/>
    <mergeCell ref="B268:H268"/>
    <mergeCell ref="I268:L268"/>
    <mergeCell ref="M268:S268"/>
    <mergeCell ref="T268:W268"/>
    <mergeCell ref="X268:AE268"/>
    <mergeCell ref="AF268:AG268"/>
    <mergeCell ref="X266:AB266"/>
    <mergeCell ref="AC266:AE266"/>
    <mergeCell ref="AH266:AJ266"/>
    <mergeCell ref="AK266:AM266"/>
    <mergeCell ref="AN266:AO266"/>
    <mergeCell ref="A267:A268"/>
    <mergeCell ref="B267:L267"/>
    <mergeCell ref="M267:W267"/>
    <mergeCell ref="X267:AG267"/>
    <mergeCell ref="AH267:AP267"/>
    <mergeCell ref="AC265:AE265"/>
    <mergeCell ref="AH265:AJ265"/>
    <mergeCell ref="AK265:AM265"/>
    <mergeCell ref="AN265:AO265"/>
    <mergeCell ref="B266:E266"/>
    <mergeCell ref="F266:I266"/>
    <mergeCell ref="J266:K266"/>
    <mergeCell ref="M266:Q266"/>
    <mergeCell ref="R266:T266"/>
    <mergeCell ref="U266:V266"/>
    <mergeCell ref="AH264:AJ264"/>
    <mergeCell ref="AK264:AM264"/>
    <mergeCell ref="AN264:AO264"/>
    <mergeCell ref="B265:E265"/>
    <mergeCell ref="F265:I265"/>
    <mergeCell ref="J265:K265"/>
    <mergeCell ref="M265:Q265"/>
    <mergeCell ref="R265:T265"/>
    <mergeCell ref="U265:V265"/>
    <mergeCell ref="X265:AB265"/>
    <mergeCell ref="AK263:AM263"/>
    <mergeCell ref="AN263:AO263"/>
    <mergeCell ref="B264:E264"/>
    <mergeCell ref="F264:I264"/>
    <mergeCell ref="J264:K264"/>
    <mergeCell ref="M264:Q264"/>
    <mergeCell ref="R264:T264"/>
    <mergeCell ref="U264:V264"/>
    <mergeCell ref="X264:AB264"/>
    <mergeCell ref="AC264:AE264"/>
    <mergeCell ref="M263:Q263"/>
    <mergeCell ref="R263:T263"/>
    <mergeCell ref="U263:V263"/>
    <mergeCell ref="X263:AB263"/>
    <mergeCell ref="AC263:AE263"/>
    <mergeCell ref="AH263:AJ263"/>
    <mergeCell ref="A260:AR260"/>
    <mergeCell ref="A261:AQ261"/>
    <mergeCell ref="A262:A263"/>
    <mergeCell ref="B262:L262"/>
    <mergeCell ref="M262:W262"/>
    <mergeCell ref="X262:AG262"/>
    <mergeCell ref="AH262:AP262"/>
    <mergeCell ref="B263:E263"/>
    <mergeCell ref="F263:I263"/>
    <mergeCell ref="J263:K263"/>
    <mergeCell ref="X193:Z193"/>
    <mergeCell ref="AA193:AC193"/>
    <mergeCell ref="AD193:AF193"/>
    <mergeCell ref="AH227:AL227"/>
    <mergeCell ref="A259:AM259"/>
    <mergeCell ref="AN259:AQ259"/>
    <mergeCell ref="X192:Z192"/>
    <mergeCell ref="AA192:AC192"/>
    <mergeCell ref="AD192:AF192"/>
    <mergeCell ref="B193:D193"/>
    <mergeCell ref="E193:G193"/>
    <mergeCell ref="H193:J193"/>
    <mergeCell ref="L193:N193"/>
    <mergeCell ref="O193:Q193"/>
    <mergeCell ref="R193:T193"/>
    <mergeCell ref="U193:W193"/>
    <mergeCell ref="X191:Z191"/>
    <mergeCell ref="AA191:AC191"/>
    <mergeCell ref="AD191:AF191"/>
    <mergeCell ref="B192:D192"/>
    <mergeCell ref="E192:G192"/>
    <mergeCell ref="H192:J192"/>
    <mergeCell ref="L192:N192"/>
    <mergeCell ref="O192:Q192"/>
    <mergeCell ref="R192:T192"/>
    <mergeCell ref="U192:W192"/>
    <mergeCell ref="X190:Z190"/>
    <mergeCell ref="AA190:AC190"/>
    <mergeCell ref="AD190:AF190"/>
    <mergeCell ref="B191:D191"/>
    <mergeCell ref="E191:G191"/>
    <mergeCell ref="H191:J191"/>
    <mergeCell ref="L191:N191"/>
    <mergeCell ref="O191:Q191"/>
    <mergeCell ref="R191:T191"/>
    <mergeCell ref="U191:W191"/>
    <mergeCell ref="AA189:AC189"/>
    <mergeCell ref="AD189:AF189"/>
    <mergeCell ref="AG189:AR192"/>
    <mergeCell ref="B190:D190"/>
    <mergeCell ref="E190:G190"/>
    <mergeCell ref="H190:J190"/>
    <mergeCell ref="L190:N190"/>
    <mergeCell ref="O190:Q190"/>
    <mergeCell ref="R190:T190"/>
    <mergeCell ref="U190:W190"/>
    <mergeCell ref="B188:AJ188"/>
    <mergeCell ref="B189:D189"/>
    <mergeCell ref="E189:G189"/>
    <mergeCell ref="H189:J189"/>
    <mergeCell ref="K189:K199"/>
    <mergeCell ref="L189:N189"/>
    <mergeCell ref="O189:Q189"/>
    <mergeCell ref="R189:T189"/>
    <mergeCell ref="U189:W189"/>
    <mergeCell ref="X189:Z189"/>
    <mergeCell ref="AA186:AC187"/>
    <mergeCell ref="AD186:AF187"/>
    <mergeCell ref="AG186:AG187"/>
    <mergeCell ref="AH186:AH187"/>
    <mergeCell ref="AI186:AJ187"/>
    <mergeCell ref="B187:D187"/>
    <mergeCell ref="E187:L187"/>
    <mergeCell ref="A186:A187"/>
    <mergeCell ref="B186:D186"/>
    <mergeCell ref="E186:L186"/>
    <mergeCell ref="M186:Q187"/>
    <mergeCell ref="S186:W187"/>
    <mergeCell ref="X186:Z187"/>
    <mergeCell ref="AD184:AF185"/>
    <mergeCell ref="AG184:AG185"/>
    <mergeCell ref="AH184:AH185"/>
    <mergeCell ref="AI184:AJ185"/>
    <mergeCell ref="B185:D185"/>
    <mergeCell ref="E185:L185"/>
    <mergeCell ref="AI182:AJ183"/>
    <mergeCell ref="B183:D183"/>
    <mergeCell ref="E183:L183"/>
    <mergeCell ref="A184:A185"/>
    <mergeCell ref="B184:D184"/>
    <mergeCell ref="E184:L184"/>
    <mergeCell ref="M184:Q185"/>
    <mergeCell ref="S184:W185"/>
    <mergeCell ref="X184:Z185"/>
    <mergeCell ref="AA184:AC185"/>
    <mergeCell ref="S182:W183"/>
    <mergeCell ref="X182:Z183"/>
    <mergeCell ref="AA182:AC183"/>
    <mergeCell ref="AD182:AF183"/>
    <mergeCell ref="AG182:AG183"/>
    <mergeCell ref="AH182:AH183"/>
    <mergeCell ref="B181:D181"/>
    <mergeCell ref="E181:L181"/>
    <mergeCell ref="A182:A183"/>
    <mergeCell ref="B182:D182"/>
    <mergeCell ref="E182:L182"/>
    <mergeCell ref="M182:Q183"/>
    <mergeCell ref="X180:Z181"/>
    <mergeCell ref="AA180:AC181"/>
    <mergeCell ref="AD180:AF181"/>
    <mergeCell ref="AG180:AG181"/>
    <mergeCell ref="AH180:AH181"/>
    <mergeCell ref="AI180:AJ181"/>
    <mergeCell ref="AG178:AG179"/>
    <mergeCell ref="AH178:AH179"/>
    <mergeCell ref="AI178:AJ179"/>
    <mergeCell ref="B179:D179"/>
    <mergeCell ref="E179:L179"/>
    <mergeCell ref="A180:A181"/>
    <mergeCell ref="B180:D180"/>
    <mergeCell ref="E180:L180"/>
    <mergeCell ref="M180:Q181"/>
    <mergeCell ref="S180:W181"/>
    <mergeCell ref="AD177:AF177"/>
    <mergeCell ref="AI177:AJ177"/>
    <mergeCell ref="A178:A179"/>
    <mergeCell ref="B178:D178"/>
    <mergeCell ref="E178:L178"/>
    <mergeCell ref="M178:Q179"/>
    <mergeCell ref="S178:W179"/>
    <mergeCell ref="X178:Z179"/>
    <mergeCell ref="AA178:AC179"/>
    <mergeCell ref="AD178:AF179"/>
    <mergeCell ref="A175:AR175"/>
    <mergeCell ref="C176:H176"/>
    <mergeCell ref="I176:J176"/>
    <mergeCell ref="K176:AJ176"/>
    <mergeCell ref="B177:L177"/>
    <mergeCell ref="M177:Q177"/>
    <mergeCell ref="R177:R187"/>
    <mergeCell ref="S177:W177"/>
    <mergeCell ref="X177:Z177"/>
    <mergeCell ref="AA177:AC177"/>
    <mergeCell ref="X108:Z108"/>
    <mergeCell ref="AA108:AC108"/>
    <mergeCell ref="AD108:AF108"/>
    <mergeCell ref="AH142:AL142"/>
    <mergeCell ref="A174:AM174"/>
    <mergeCell ref="AN174:AQ174"/>
    <mergeCell ref="X107:Z107"/>
    <mergeCell ref="AA107:AC107"/>
    <mergeCell ref="AD107:AF107"/>
    <mergeCell ref="B108:D108"/>
    <mergeCell ref="E108:G108"/>
    <mergeCell ref="H108:J108"/>
    <mergeCell ref="L108:N108"/>
    <mergeCell ref="O108:Q108"/>
    <mergeCell ref="R108:T108"/>
    <mergeCell ref="U108:W108"/>
    <mergeCell ref="X106:Z106"/>
    <mergeCell ref="AA106:AC106"/>
    <mergeCell ref="AD106:AF106"/>
    <mergeCell ref="B107:D107"/>
    <mergeCell ref="E107:G107"/>
    <mergeCell ref="H107:J107"/>
    <mergeCell ref="L107:N107"/>
    <mergeCell ref="O107:Q107"/>
    <mergeCell ref="R107:T107"/>
    <mergeCell ref="U107:W107"/>
    <mergeCell ref="X105:Z105"/>
    <mergeCell ref="AA105:AC105"/>
    <mergeCell ref="AD105:AF105"/>
    <mergeCell ref="B106:D106"/>
    <mergeCell ref="E106:G106"/>
    <mergeCell ref="H106:J106"/>
    <mergeCell ref="L106:N106"/>
    <mergeCell ref="O106:Q106"/>
    <mergeCell ref="R106:T106"/>
    <mergeCell ref="U106:W106"/>
    <mergeCell ref="AA104:AC104"/>
    <mergeCell ref="AD104:AF104"/>
    <mergeCell ref="AG104:AR107"/>
    <mergeCell ref="B105:D105"/>
    <mergeCell ref="E105:G105"/>
    <mergeCell ref="H105:J105"/>
    <mergeCell ref="L105:N105"/>
    <mergeCell ref="O105:Q105"/>
    <mergeCell ref="R105:T105"/>
    <mergeCell ref="U105:W105"/>
    <mergeCell ref="B103:AJ103"/>
    <mergeCell ref="B104:D104"/>
    <mergeCell ref="E104:G104"/>
    <mergeCell ref="H104:J104"/>
    <mergeCell ref="K104:K114"/>
    <mergeCell ref="L104:N104"/>
    <mergeCell ref="O104:Q104"/>
    <mergeCell ref="R104:T104"/>
    <mergeCell ref="U104:W104"/>
    <mergeCell ref="X104:Z104"/>
    <mergeCell ref="AA101:AC102"/>
    <mergeCell ref="AD101:AF102"/>
    <mergeCell ref="AG101:AG102"/>
    <mergeCell ref="AH101:AH102"/>
    <mergeCell ref="AI101:AJ102"/>
    <mergeCell ref="B102:D102"/>
    <mergeCell ref="E102:L102"/>
    <mergeCell ref="A101:A102"/>
    <mergeCell ref="B101:D101"/>
    <mergeCell ref="E101:L101"/>
    <mergeCell ref="M101:Q102"/>
    <mergeCell ref="S101:W102"/>
    <mergeCell ref="X101:Z102"/>
    <mergeCell ref="AA99:AC100"/>
    <mergeCell ref="AD99:AF100"/>
    <mergeCell ref="AG99:AG100"/>
    <mergeCell ref="AH99:AH100"/>
    <mergeCell ref="AI99:AJ100"/>
    <mergeCell ref="B100:D100"/>
    <mergeCell ref="E100:L100"/>
    <mergeCell ref="A99:A100"/>
    <mergeCell ref="B99:D99"/>
    <mergeCell ref="E99:L99"/>
    <mergeCell ref="M99:Q100"/>
    <mergeCell ref="S99:W100"/>
    <mergeCell ref="X99:Z100"/>
    <mergeCell ref="AA97:AC98"/>
    <mergeCell ref="AD97:AF98"/>
    <mergeCell ref="AG97:AG98"/>
    <mergeCell ref="AH97:AH98"/>
    <mergeCell ref="AI97:AJ98"/>
    <mergeCell ref="B98:D98"/>
    <mergeCell ref="E98:L98"/>
    <mergeCell ref="A97:A98"/>
    <mergeCell ref="B97:D97"/>
    <mergeCell ref="E97:L97"/>
    <mergeCell ref="M97:Q98"/>
    <mergeCell ref="S97:W98"/>
    <mergeCell ref="X97:Z98"/>
    <mergeCell ref="AA95:AC96"/>
    <mergeCell ref="AD95:AF96"/>
    <mergeCell ref="AG95:AG96"/>
    <mergeCell ref="AH95:AH96"/>
    <mergeCell ref="AI95:AJ96"/>
    <mergeCell ref="B96:D96"/>
    <mergeCell ref="E96:L96"/>
    <mergeCell ref="A95:A96"/>
    <mergeCell ref="B95:D95"/>
    <mergeCell ref="E95:L95"/>
    <mergeCell ref="M95:Q96"/>
    <mergeCell ref="S95:W96"/>
    <mergeCell ref="X95:Z96"/>
    <mergeCell ref="AD93:AF94"/>
    <mergeCell ref="AG93:AG94"/>
    <mergeCell ref="AH93:AH94"/>
    <mergeCell ref="AI93:AJ94"/>
    <mergeCell ref="B94:D94"/>
    <mergeCell ref="E94:L94"/>
    <mergeCell ref="AA92:AC92"/>
    <mergeCell ref="AD92:AF92"/>
    <mergeCell ref="AI92:AJ92"/>
    <mergeCell ref="A93:A94"/>
    <mergeCell ref="B93:D93"/>
    <mergeCell ref="E93:L93"/>
    <mergeCell ref="M93:Q94"/>
    <mergeCell ref="S93:W94"/>
    <mergeCell ref="X93:Z94"/>
    <mergeCell ref="AA93:AC94"/>
    <mergeCell ref="AN89:AQ89"/>
    <mergeCell ref="A90:AR90"/>
    <mergeCell ref="C91:H91"/>
    <mergeCell ref="I91:J91"/>
    <mergeCell ref="K91:AJ91"/>
    <mergeCell ref="B92:L92"/>
    <mergeCell ref="M92:Q92"/>
    <mergeCell ref="R92:R102"/>
    <mergeCell ref="S92:W92"/>
    <mergeCell ref="X92:Z92"/>
    <mergeCell ref="U23:W23"/>
    <mergeCell ref="X23:Z23"/>
    <mergeCell ref="AA23:AC23"/>
    <mergeCell ref="AD23:AF23"/>
    <mergeCell ref="AH57:AL57"/>
    <mergeCell ref="A89:AM89"/>
    <mergeCell ref="U22:W22"/>
    <mergeCell ref="X22:Z22"/>
    <mergeCell ref="AA22:AC22"/>
    <mergeCell ref="AD22:AF22"/>
    <mergeCell ref="B23:D23"/>
    <mergeCell ref="E23:G23"/>
    <mergeCell ref="H23:J23"/>
    <mergeCell ref="L23:N23"/>
    <mergeCell ref="O23:Q23"/>
    <mergeCell ref="R23:T23"/>
    <mergeCell ref="U21:W21"/>
    <mergeCell ref="X21:Z21"/>
    <mergeCell ref="AA21:AC21"/>
    <mergeCell ref="AD21:AF21"/>
    <mergeCell ref="B22:D22"/>
    <mergeCell ref="E22:G22"/>
    <mergeCell ref="H22:J22"/>
    <mergeCell ref="L22:N22"/>
    <mergeCell ref="O22:Q22"/>
    <mergeCell ref="R22:T22"/>
    <mergeCell ref="U20:W20"/>
    <mergeCell ref="X20:Z20"/>
    <mergeCell ref="AA20:AC20"/>
    <mergeCell ref="AD20:AF20"/>
    <mergeCell ref="B21:D21"/>
    <mergeCell ref="E21:G21"/>
    <mergeCell ref="H21:J21"/>
    <mergeCell ref="L21:N21"/>
    <mergeCell ref="O21:Q21"/>
    <mergeCell ref="R21:T21"/>
    <mergeCell ref="X19:Z19"/>
    <mergeCell ref="AA19:AC19"/>
    <mergeCell ref="AD19:AF19"/>
    <mergeCell ref="AG19:AR22"/>
    <mergeCell ref="B20:D20"/>
    <mergeCell ref="E20:G20"/>
    <mergeCell ref="H20:J20"/>
    <mergeCell ref="L20:N20"/>
    <mergeCell ref="O20:Q20"/>
    <mergeCell ref="R20:T20"/>
    <mergeCell ref="B18:AJ18"/>
    <mergeCell ref="AT18:AY19"/>
    <mergeCell ref="B19:D19"/>
    <mergeCell ref="E19:G19"/>
    <mergeCell ref="H19:J19"/>
    <mergeCell ref="K19:K29"/>
    <mergeCell ref="L19:N19"/>
    <mergeCell ref="O19:Q19"/>
    <mergeCell ref="R19:T19"/>
    <mergeCell ref="U19:W19"/>
    <mergeCell ref="AA16:AC17"/>
    <mergeCell ref="AD16:AF17"/>
    <mergeCell ref="AG16:AG17"/>
    <mergeCell ref="AH16:AH17"/>
    <mergeCell ref="AI16:AJ17"/>
    <mergeCell ref="B17:D17"/>
    <mergeCell ref="E17:L17"/>
    <mergeCell ref="A16:A17"/>
    <mergeCell ref="B16:D16"/>
    <mergeCell ref="E16:L16"/>
    <mergeCell ref="M16:Q17"/>
    <mergeCell ref="S16:W17"/>
    <mergeCell ref="X16:Z17"/>
    <mergeCell ref="AD14:AF15"/>
    <mergeCell ref="AG14:AG15"/>
    <mergeCell ref="AH14:AH15"/>
    <mergeCell ref="AI14:AJ15"/>
    <mergeCell ref="B15:D15"/>
    <mergeCell ref="E15:L15"/>
    <mergeCell ref="A14:A15"/>
    <mergeCell ref="B14:D14"/>
    <mergeCell ref="E14:L14"/>
    <mergeCell ref="M14:Q15"/>
    <mergeCell ref="S14:W15"/>
    <mergeCell ref="X14:Z15"/>
    <mergeCell ref="AD12:AF13"/>
    <mergeCell ref="AG12:AG13"/>
    <mergeCell ref="AH12:AH13"/>
    <mergeCell ref="AI12:AJ13"/>
    <mergeCell ref="B13:D13"/>
    <mergeCell ref="E13:L13"/>
    <mergeCell ref="A12:A13"/>
    <mergeCell ref="B12:D12"/>
    <mergeCell ref="E12:L12"/>
    <mergeCell ref="M12:Q13"/>
    <mergeCell ref="S12:W13"/>
    <mergeCell ref="X12:Z13"/>
    <mergeCell ref="AD10:AF11"/>
    <mergeCell ref="AG10:AG11"/>
    <mergeCell ref="AH10:AH11"/>
    <mergeCell ref="AI10:AJ11"/>
    <mergeCell ref="B11:D11"/>
    <mergeCell ref="E11:L11"/>
    <mergeCell ref="AG8:AG9"/>
    <mergeCell ref="AH8:AH9"/>
    <mergeCell ref="AI8:AJ9"/>
    <mergeCell ref="B9:D9"/>
    <mergeCell ref="E9:L9"/>
    <mergeCell ref="A10:A11"/>
    <mergeCell ref="B10:D10"/>
    <mergeCell ref="E10:L10"/>
    <mergeCell ref="M10:Q11"/>
    <mergeCell ref="S10:W11"/>
    <mergeCell ref="AD7:AF7"/>
    <mergeCell ref="AI7:AJ7"/>
    <mergeCell ref="A8:A9"/>
    <mergeCell ref="B8:D8"/>
    <mergeCell ref="E8:L8"/>
    <mergeCell ref="M8:Q9"/>
    <mergeCell ref="S8:W9"/>
    <mergeCell ref="X8:Z9"/>
    <mergeCell ref="AA8:AC9"/>
    <mergeCell ref="AD8:AF9"/>
    <mergeCell ref="B7:L7"/>
    <mergeCell ref="M7:Q7"/>
    <mergeCell ref="R7:R17"/>
    <mergeCell ref="S7:W7"/>
    <mergeCell ref="X7:Z7"/>
    <mergeCell ref="AA7:AC7"/>
    <mergeCell ref="X10:Z11"/>
    <mergeCell ref="AA10:AC11"/>
    <mergeCell ref="AA12:AC13"/>
    <mergeCell ref="AA14:AC15"/>
    <mergeCell ref="AF4:AI4"/>
    <mergeCell ref="B5:J5"/>
    <mergeCell ref="L5:AF5"/>
    <mergeCell ref="C6:H6"/>
    <mergeCell ref="I6:J6"/>
    <mergeCell ref="K6:AJ6"/>
    <mergeCell ref="B3:O3"/>
    <mergeCell ref="P3:R3"/>
    <mergeCell ref="S3:X3"/>
    <mergeCell ref="AC3:AF3"/>
    <mergeCell ref="AH3:AI3"/>
    <mergeCell ref="A4:D4"/>
    <mergeCell ref="E4:M4"/>
    <mergeCell ref="N4:Q4"/>
    <mergeCell ref="R4:AA4"/>
    <mergeCell ref="AB4:AE4"/>
    <mergeCell ref="A1:AI1"/>
    <mergeCell ref="AX1:AY1"/>
    <mergeCell ref="A2:I2"/>
    <mergeCell ref="J2:X2"/>
    <mergeCell ref="Y2:AC2"/>
    <mergeCell ref="AD2:AI2"/>
  </mergeCells>
  <conditionalFormatting sqref="A93 A8 A178">
    <cfRule type="expression" dxfId="756" priority="4" stopIfTrue="1">
      <formula>IF(AL9&gt;0,0,1)</formula>
    </cfRule>
  </conditionalFormatting>
  <conditionalFormatting sqref="A95:A96 A10:A11 A180:A181">
    <cfRule type="expression" dxfId="755" priority="5" stopIfTrue="1">
      <formula>IF(AL9&gt;1,0,1)</formula>
    </cfRule>
  </conditionalFormatting>
  <conditionalFormatting sqref="A97:A98 A12:A13 A182:A183">
    <cfRule type="expression" dxfId="754" priority="6" stopIfTrue="1">
      <formula>IF(AL9&gt;2,0,1)</formula>
    </cfRule>
  </conditionalFormatting>
  <conditionalFormatting sqref="A99:A100 A14:A15 A184:A185">
    <cfRule type="expression" dxfId="753" priority="7" stopIfTrue="1">
      <formula>IF(AL9&gt;3,0,1)</formula>
    </cfRule>
  </conditionalFormatting>
  <conditionalFormatting sqref="A101:A102 A16:A17 A186:A187">
    <cfRule type="expression" dxfId="752" priority="8" stopIfTrue="1">
      <formula>IF(AL9&gt;4,0,1)</formula>
    </cfRule>
  </conditionalFormatting>
  <conditionalFormatting sqref="B8 B93 B178">
    <cfRule type="expression" dxfId="751" priority="9" stopIfTrue="1">
      <formula>IF(AL9&gt;0,0,1)</formula>
    </cfRule>
  </conditionalFormatting>
  <conditionalFormatting sqref="B9 B94 B179">
    <cfRule type="expression" dxfId="750" priority="10" stopIfTrue="1">
      <formula>IF(AL9&gt;0,0,1)</formula>
    </cfRule>
  </conditionalFormatting>
  <conditionalFormatting sqref="B10 B95 B180">
    <cfRule type="expression" dxfId="749" priority="11" stopIfTrue="1">
      <formula>IF(AL9&gt;1,0,1)</formula>
    </cfRule>
  </conditionalFormatting>
  <conditionalFormatting sqref="B11:D11 B96:D96 B181:D181">
    <cfRule type="expression" dxfId="748" priority="12" stopIfTrue="1">
      <formula>IF(AL9&gt;1,0,1)</formula>
    </cfRule>
  </conditionalFormatting>
  <conditionalFormatting sqref="B12:D12 B97:D97 B182:D182">
    <cfRule type="expression" dxfId="747" priority="13" stopIfTrue="1">
      <formula>IF(AL9&gt;2,0,1)</formula>
    </cfRule>
  </conditionalFormatting>
  <conditionalFormatting sqref="B13:D13 B98:D98 B183:D183">
    <cfRule type="expression" dxfId="746" priority="14" stopIfTrue="1">
      <formula>IF(AL9&gt;2,0,1)</formula>
    </cfRule>
  </conditionalFormatting>
  <conditionalFormatting sqref="B14:D14 B99:D99 B184:D184">
    <cfRule type="expression" dxfId="745" priority="15" stopIfTrue="1">
      <formula>IF(AL9&gt;3,0,1)</formula>
    </cfRule>
  </conditionalFormatting>
  <conditionalFormatting sqref="B15:D15 B100:D100 B185:D185">
    <cfRule type="expression" dxfId="744" priority="16" stopIfTrue="1">
      <formula>IF(AL9&gt;3,0,1)</formula>
    </cfRule>
  </conditionalFormatting>
  <conditionalFormatting sqref="B16:D16 B101:D101 B186:D186">
    <cfRule type="expression" dxfId="743" priority="17" stopIfTrue="1">
      <formula>IF(AL9&gt;4,0,1)</formula>
    </cfRule>
  </conditionalFormatting>
  <conditionalFormatting sqref="B17:D17 B102:D102 B187:D187">
    <cfRule type="expression" dxfId="742" priority="18" stopIfTrue="1">
      <formula>IF(AL9&gt;4,0,1)</formula>
    </cfRule>
  </conditionalFormatting>
  <conditionalFormatting sqref="E8 E93 E178">
    <cfRule type="expression" dxfId="741" priority="19" stopIfTrue="1">
      <formula>IF(AL9&gt;0,0,1)</formula>
    </cfRule>
  </conditionalFormatting>
  <conditionalFormatting sqref="E9 E94 E179">
    <cfRule type="expression" dxfId="740" priority="20" stopIfTrue="1">
      <formula>IF(AL9&gt;0,0,1)</formula>
    </cfRule>
  </conditionalFormatting>
  <conditionalFormatting sqref="E10 E95 E180">
    <cfRule type="expression" dxfId="739" priority="21" stopIfTrue="1">
      <formula>IF(AL9&gt;1,0,1)</formula>
    </cfRule>
  </conditionalFormatting>
  <conditionalFormatting sqref="E11 E96 E181">
    <cfRule type="expression" dxfId="738" priority="22" stopIfTrue="1">
      <formula>IF(AL9&gt;1,0,1)</formula>
    </cfRule>
  </conditionalFormatting>
  <conditionalFormatting sqref="E12 E97 E182">
    <cfRule type="expression" dxfId="737" priority="23" stopIfTrue="1">
      <formula>IF(AL9&gt;2,0,1)</formula>
    </cfRule>
  </conditionalFormatting>
  <conditionalFormatting sqref="E13 E98 E183">
    <cfRule type="expression" dxfId="736" priority="24" stopIfTrue="1">
      <formula>IF(AL9&gt;2,0,1)</formula>
    </cfRule>
  </conditionalFormatting>
  <conditionalFormatting sqref="E14 E99 E184">
    <cfRule type="expression" dxfId="735" priority="25" stopIfTrue="1">
      <formula>IF(AL9&gt;3,0,1)</formula>
    </cfRule>
  </conditionalFormatting>
  <conditionalFormatting sqref="E15 E100 E185">
    <cfRule type="expression" dxfId="734" priority="26" stopIfTrue="1">
      <formula>IF(AL9&gt;3,0,1)</formula>
    </cfRule>
  </conditionalFormatting>
  <conditionalFormatting sqref="E16 E101 E186">
    <cfRule type="expression" dxfId="733" priority="27" stopIfTrue="1">
      <formula>IF(AL9&gt;4,0,1)</formula>
    </cfRule>
  </conditionalFormatting>
  <conditionalFormatting sqref="E17 E102 E187">
    <cfRule type="expression" dxfId="732" priority="28" stopIfTrue="1">
      <formula>IF(AL9&gt;4,0,1)</formula>
    </cfRule>
  </conditionalFormatting>
  <conditionalFormatting sqref="AD93 AD8 AD178">
    <cfRule type="expression" dxfId="731" priority="29" stopIfTrue="1">
      <formula>IF(AL11=1,IF(AL9&gt;0,0,1),1)</formula>
    </cfRule>
  </conditionalFormatting>
  <conditionalFormatting sqref="AD95:AF96 AD10:AF11 AD180:AF181">
    <cfRule type="expression" dxfId="730" priority="30" stopIfTrue="1">
      <formula>IF(AL11=1,IF(AL9&gt;1,0,1),1)</formula>
    </cfRule>
  </conditionalFormatting>
  <conditionalFormatting sqref="AD97:AF98 AD12:AF13 AD182:AF183">
    <cfRule type="expression" dxfId="729" priority="31" stopIfTrue="1">
      <formula>IF(AL11=1,IF(AL9&gt;2,0,1),1)</formula>
    </cfRule>
  </conditionalFormatting>
  <conditionalFormatting sqref="AD99:AF100 AD14:AF15 AD184:AF185">
    <cfRule type="expression" dxfId="728" priority="32" stopIfTrue="1">
      <formula>IF(AL11=1,IF(AL9&gt;3,0,1),1)</formula>
    </cfRule>
  </conditionalFormatting>
  <conditionalFormatting sqref="AD101:AF102 AD16:AF17 AD186:AF187">
    <cfRule type="expression" dxfId="727" priority="33" stopIfTrue="1">
      <formula>IF(AL11=1,IF(AL9&gt;4,0,1),1)</formula>
    </cfRule>
  </conditionalFormatting>
  <conditionalFormatting sqref="AI93 AI8 AI178">
    <cfRule type="expression" dxfId="726" priority="34" stopIfTrue="1">
      <formula>IF(AL9&gt;0,0,1)</formula>
    </cfRule>
  </conditionalFormatting>
  <conditionalFormatting sqref="AI95:AJ96 AI10:AJ11 AI180:AJ181">
    <cfRule type="expression" dxfId="725" priority="35" stopIfTrue="1">
      <formula>IF(AL9&gt;1,0,1)</formula>
    </cfRule>
  </conditionalFormatting>
  <conditionalFormatting sqref="AI97:AJ98 AI12:AJ13 AI182:AJ183">
    <cfRule type="expression" dxfId="724" priority="36" stopIfTrue="1">
      <formula>IF(AL9&gt;2,0,1)</formula>
    </cfRule>
  </conditionalFormatting>
  <conditionalFormatting sqref="AI99:AJ100 AI14:AJ15 AI184:AJ185">
    <cfRule type="expression" dxfId="723" priority="37" stopIfTrue="1">
      <formula>IF(AL9&gt;3,0,1)</formula>
    </cfRule>
  </conditionalFormatting>
  <conditionalFormatting sqref="AI101:AJ102 AI16:AJ17 AI186:AJ187">
    <cfRule type="expression" dxfId="722" priority="38" stopIfTrue="1">
      <formula>IF(AL9&gt;4,0,1)</formula>
    </cfRule>
  </conditionalFormatting>
  <conditionalFormatting sqref="B104:D104 B19:D19 B189:D189">
    <cfRule type="expression" dxfId="721" priority="39" stopIfTrue="1">
      <formula>IF(AL8&gt;0,0,1)</formula>
    </cfRule>
  </conditionalFormatting>
  <conditionalFormatting sqref="E104:G104 E19:G19 E189:G189">
    <cfRule type="expression" dxfId="720" priority="40" stopIfTrue="1">
      <formula>IF(AL8&gt;1,0,1)</formula>
    </cfRule>
  </conditionalFormatting>
  <conditionalFormatting sqref="H104:J104 H19:J19 H189:J189">
    <cfRule type="expression" dxfId="719" priority="41" stopIfTrue="1">
      <formula>IF(AL8&gt;2,0,1)</formula>
    </cfRule>
  </conditionalFormatting>
  <conditionalFormatting sqref="L104:N104 L19:N19 L189:N189">
    <cfRule type="expression" dxfId="718" priority="42" stopIfTrue="1">
      <formula>IF(AL8&gt;3,0,1)</formula>
    </cfRule>
  </conditionalFormatting>
  <conditionalFormatting sqref="O104:Q104 O19:Q19 O189:Q189">
    <cfRule type="expression" dxfId="717" priority="43" stopIfTrue="1">
      <formula>IF(AL8&gt;4,0,1)</formula>
    </cfRule>
  </conditionalFormatting>
  <conditionalFormatting sqref="R104:T104 R19:T19 R189:T189">
    <cfRule type="expression" dxfId="716" priority="44" stopIfTrue="1">
      <formula>IF(AL8&gt;5,0,1)</formula>
    </cfRule>
  </conditionalFormatting>
  <conditionalFormatting sqref="U104:W104 U19:W19 U189:W189">
    <cfRule type="expression" dxfId="715" priority="45" stopIfTrue="1">
      <formula>IF(AL8&gt;6,0,1)</formula>
    </cfRule>
  </conditionalFormatting>
  <conditionalFormatting sqref="X104:Z104 X19:Z19 X189:Z189">
    <cfRule type="expression" dxfId="714" priority="46" stopIfTrue="1">
      <formula>IF(AL8&gt;7,0,1)</formula>
    </cfRule>
  </conditionalFormatting>
  <conditionalFormatting sqref="AA104:AC104 AA19:AC19 AA189:AC189">
    <cfRule type="expression" dxfId="713" priority="47" stopIfTrue="1">
      <formula>IF(AL8&gt;8,0,1)</formula>
    </cfRule>
  </conditionalFormatting>
  <conditionalFormatting sqref="AD104:AF104 AD19:AF19 AD189:AF189">
    <cfRule type="expression" dxfId="712" priority="48" stopIfTrue="1">
      <formula>IF(AL8&gt;9,0,1)</formula>
    </cfRule>
  </conditionalFormatting>
  <conditionalFormatting sqref="B20:D20 B105:D105 B190:D190">
    <cfRule type="expression" dxfId="711" priority="49" stopIfTrue="1">
      <formula>IF(AL8&gt;0,0,1)</formula>
    </cfRule>
  </conditionalFormatting>
  <conditionalFormatting sqref="E20:G20 E105:G105 E190:G190">
    <cfRule type="expression" dxfId="710" priority="50" stopIfTrue="1">
      <formula>IF(AL8&gt;1,0,1)</formula>
    </cfRule>
  </conditionalFormatting>
  <conditionalFormatting sqref="H20:J20 H105:J105 H190:J190">
    <cfRule type="expression" dxfId="709" priority="51" stopIfTrue="1">
      <formula>IF(AL8&gt;2,0,1)</formula>
    </cfRule>
  </conditionalFormatting>
  <conditionalFormatting sqref="L20:N20 L105:N105 L190:N190">
    <cfRule type="expression" dxfId="708" priority="52" stopIfTrue="1">
      <formula>IF(AL8&gt;3,0,1)</formula>
    </cfRule>
  </conditionalFormatting>
  <conditionalFormatting sqref="O20:Q20 O105:Q105 O190:Q190">
    <cfRule type="expression" dxfId="707" priority="53" stopIfTrue="1">
      <formula>IF(AL8&gt;4,0,1)</formula>
    </cfRule>
  </conditionalFormatting>
  <conditionalFormatting sqref="R20:T20 R105:T105 R190:T190">
    <cfRule type="expression" dxfId="706" priority="54" stopIfTrue="1">
      <formula>IF(AL8&gt;5,0,1)</formula>
    </cfRule>
  </conditionalFormatting>
  <conditionalFormatting sqref="U20:W20 U105:W105 U190:W190">
    <cfRule type="expression" dxfId="705" priority="55" stopIfTrue="1">
      <formula>IF(AL8&gt;6,0,1)</formula>
    </cfRule>
  </conditionalFormatting>
  <conditionalFormatting sqref="X20:Z20 X105:Z105 X190:Z190">
    <cfRule type="expression" dxfId="704" priority="56" stopIfTrue="1">
      <formula>IF(AL8&gt;7,0,1)</formula>
    </cfRule>
  </conditionalFormatting>
  <conditionalFormatting sqref="AA20:AC20 AA105:AC105 AA190:AC190">
    <cfRule type="expression" dxfId="703" priority="57" stopIfTrue="1">
      <formula>IF(AL8&gt;8,0,1)</formula>
    </cfRule>
  </conditionalFormatting>
  <conditionalFormatting sqref="AD20:AF20 AD105:AF105 AD190:AF190">
    <cfRule type="expression" dxfId="702" priority="58" stopIfTrue="1">
      <formula>IF(AL8&gt;9,0,1)</formula>
    </cfRule>
  </conditionalFormatting>
  <conditionalFormatting sqref="E22:G22 E107:G107 E192:G192">
    <cfRule type="expression" dxfId="701" priority="59" stopIfTrue="1">
      <formula>IF(AL8&gt;1,0,1)</formula>
    </cfRule>
  </conditionalFormatting>
  <conditionalFormatting sqref="H22:J22 H107:J107 H192:J192">
    <cfRule type="expression" dxfId="700" priority="60" stopIfTrue="1">
      <formula>IF(AL8&gt;2,0,1)</formula>
    </cfRule>
  </conditionalFormatting>
  <conditionalFormatting sqref="L22:N22 L107:N107 L192:N192">
    <cfRule type="expression" dxfId="699" priority="61" stopIfTrue="1">
      <formula>IF(AL8&gt;3,0,1)</formula>
    </cfRule>
  </conditionalFormatting>
  <conditionalFormatting sqref="O22:Q22 O107:Q107 O192:Q192">
    <cfRule type="expression" dxfId="698" priority="62" stopIfTrue="1">
      <formula>IF(AL8&gt;4,0,1)</formula>
    </cfRule>
  </conditionalFormatting>
  <conditionalFormatting sqref="R22:T22 R107:T107 R192:T192">
    <cfRule type="expression" dxfId="697" priority="63" stopIfTrue="1">
      <formula>IF(AL8&gt;5,0,1)</formula>
    </cfRule>
  </conditionalFormatting>
  <conditionalFormatting sqref="U22:W22 U107:W107 U192:W192">
    <cfRule type="expression" dxfId="696" priority="64" stopIfTrue="1">
      <formula>IF(AL8&gt;6,0,1)</formula>
    </cfRule>
  </conditionalFormatting>
  <conditionalFormatting sqref="X22:Z22 X107:Z107 X192:Z192">
    <cfRule type="expression" dxfId="695" priority="65" stopIfTrue="1">
      <formula>IF(AL8&gt;7,0,1)</formula>
    </cfRule>
  </conditionalFormatting>
  <conditionalFormatting sqref="AA22:AC22 AA107:AC107 AA192:AC192">
    <cfRule type="expression" dxfId="694" priority="66" stopIfTrue="1">
      <formula>IF(AL8&gt;8,0,1)</formula>
    </cfRule>
  </conditionalFormatting>
  <conditionalFormatting sqref="AD22:AF22 AD107:AF107 AD192:AF192">
    <cfRule type="expression" dxfId="693" priority="67" stopIfTrue="1">
      <formula>IF(AL8&gt;9,0,1)</formula>
    </cfRule>
  </conditionalFormatting>
  <conditionalFormatting sqref="B24 B109 B194">
    <cfRule type="expression" dxfId="692" priority="68" stopIfTrue="1">
      <formula>IF(AL8&gt;0,0,1)</formula>
    </cfRule>
  </conditionalFormatting>
  <conditionalFormatting sqref="C24 C109 C194">
    <cfRule type="expression" dxfId="691" priority="69" stopIfTrue="1">
      <formula>IF(AL8&gt;0,0,1)</formula>
    </cfRule>
  </conditionalFormatting>
  <conditionalFormatting sqref="D24 D109 D194">
    <cfRule type="expression" dxfId="690" priority="70" stopIfTrue="1">
      <formula>IF(AL8&gt;0,0,1)</formula>
    </cfRule>
  </conditionalFormatting>
  <conditionalFormatting sqref="E108:G108 E23:G23 E193:G193">
    <cfRule type="expression" dxfId="689" priority="71" stopIfTrue="1">
      <formula>IF(AL8&gt;1,0,1)</formula>
    </cfRule>
  </conditionalFormatting>
  <conditionalFormatting sqref="F24 F109 F194">
    <cfRule type="expression" dxfId="688" priority="72" stopIfTrue="1">
      <formula>IF(AL8&gt;1,0,1)</formula>
    </cfRule>
  </conditionalFormatting>
  <conditionalFormatting sqref="G24 G109 G194">
    <cfRule type="expression" dxfId="687" priority="73" stopIfTrue="1">
      <formula>IF(AL8&gt;1,0,1)</formula>
    </cfRule>
  </conditionalFormatting>
  <conditionalFormatting sqref="H108:J108 H23:J23 H193:J193">
    <cfRule type="expression" dxfId="686" priority="74" stopIfTrue="1">
      <formula>IF(AL8&gt;2,0,1)</formula>
    </cfRule>
  </conditionalFormatting>
  <conditionalFormatting sqref="I24 I109 I194">
    <cfRule type="expression" dxfId="685" priority="75" stopIfTrue="1">
      <formula>IF(AL8&gt;2,0,1)</formula>
    </cfRule>
  </conditionalFormatting>
  <conditionalFormatting sqref="J24 J109 J194">
    <cfRule type="expression" dxfId="684" priority="76" stopIfTrue="1">
      <formula>IF(AL8&gt;2,0,1)</formula>
    </cfRule>
  </conditionalFormatting>
  <conditionalFormatting sqref="L108:N108 L23:N23 L193:N193">
    <cfRule type="expression" dxfId="683" priority="77" stopIfTrue="1">
      <formula>IF(AL8&gt;3,0,1)</formula>
    </cfRule>
  </conditionalFormatting>
  <conditionalFormatting sqref="M24 M109 M194">
    <cfRule type="expression" dxfId="682" priority="78" stopIfTrue="1">
      <formula>IF(AL8&gt;3,0,1)</formula>
    </cfRule>
  </conditionalFormatting>
  <conditionalFormatting sqref="N24 N109 N194">
    <cfRule type="expression" dxfId="681" priority="79" stopIfTrue="1">
      <formula>IF(AL8&gt;3,0,1)</formula>
    </cfRule>
  </conditionalFormatting>
  <conditionalFormatting sqref="O108:Q108 O23:Q23 O193:Q193">
    <cfRule type="expression" dxfId="680" priority="80" stopIfTrue="1">
      <formula>IF(AL8&gt;4,0,1)</formula>
    </cfRule>
  </conditionalFormatting>
  <conditionalFormatting sqref="P24 P109 P194">
    <cfRule type="expression" dxfId="679" priority="81" stopIfTrue="1">
      <formula>IF(AL8&gt;4,0,1)</formula>
    </cfRule>
  </conditionalFormatting>
  <conditionalFormatting sqref="Q24 Q109 Q194">
    <cfRule type="expression" dxfId="678" priority="82" stopIfTrue="1">
      <formula>IF(AL8&gt;4,0,1)</formula>
    </cfRule>
  </conditionalFormatting>
  <conditionalFormatting sqref="R108:T108 R23:T23 R193:T193">
    <cfRule type="expression" dxfId="677" priority="83" stopIfTrue="1">
      <formula>IF(AL8&gt;5,0,1)</formula>
    </cfRule>
  </conditionalFormatting>
  <conditionalFormatting sqref="S24 S109 S194">
    <cfRule type="expression" dxfId="676" priority="84" stopIfTrue="1">
      <formula>IF(AL8&gt;5,0,1)</formula>
    </cfRule>
  </conditionalFormatting>
  <conditionalFormatting sqref="T24 T109 T194">
    <cfRule type="expression" dxfId="675" priority="85" stopIfTrue="1">
      <formula>IF(AL8&gt;5,0,1)</formula>
    </cfRule>
  </conditionalFormatting>
  <conditionalFormatting sqref="U108:W108 U23:W23 U193:W193">
    <cfRule type="expression" dxfId="674" priority="86" stopIfTrue="1">
      <formula>IF(AL8&gt;6,0,1)</formula>
    </cfRule>
  </conditionalFormatting>
  <conditionalFormatting sqref="V24 V109 V194">
    <cfRule type="expression" dxfId="673" priority="87" stopIfTrue="1">
      <formula>IF(AL8&gt;6,0,1)</formula>
    </cfRule>
  </conditionalFormatting>
  <conditionalFormatting sqref="W24 W109 W194">
    <cfRule type="expression" dxfId="672" priority="88" stopIfTrue="1">
      <formula>IF(AL8&gt;6,0,1)</formula>
    </cfRule>
  </conditionalFormatting>
  <conditionalFormatting sqref="X108:Z108 X23:Z23 X193:Z193">
    <cfRule type="expression" dxfId="671" priority="89" stopIfTrue="1">
      <formula>IF(AL8&gt;7,0,1)</formula>
    </cfRule>
  </conditionalFormatting>
  <conditionalFormatting sqref="Y24 Y109 Y194">
    <cfRule type="expression" dxfId="670" priority="90" stopIfTrue="1">
      <formula>IF(AL8&gt;7,0,1)</formula>
    </cfRule>
  </conditionalFormatting>
  <conditionalFormatting sqref="Z24 Z109 Z194">
    <cfRule type="expression" dxfId="669" priority="91" stopIfTrue="1">
      <formula>IF(AL8&gt;7,0,1)</formula>
    </cfRule>
  </conditionalFormatting>
  <conditionalFormatting sqref="AA108:AC108 AA23:AC23 AA193:AC193">
    <cfRule type="expression" dxfId="668" priority="92" stopIfTrue="1">
      <formula>IF(AL8&gt;8,0,1)</formula>
    </cfRule>
  </conditionalFormatting>
  <conditionalFormatting sqref="AB24 AB109 AB194">
    <cfRule type="expression" dxfId="667" priority="93" stopIfTrue="1">
      <formula>IF(AL8&gt;8,0,1)</formula>
    </cfRule>
  </conditionalFormatting>
  <conditionalFormatting sqref="AC24 AC109 AC194">
    <cfRule type="expression" dxfId="666" priority="94" stopIfTrue="1">
      <formula>IF(AL8&gt;8,0,1)</formula>
    </cfRule>
  </conditionalFormatting>
  <conditionalFormatting sqref="AD108:AF108 AD23:AF23 AD193:AF193">
    <cfRule type="expression" dxfId="665" priority="95" stopIfTrue="1">
      <formula>IF(AL8&gt;9,0,1)</formula>
    </cfRule>
  </conditionalFormatting>
  <conditionalFormatting sqref="AE24 AE109 AE194">
    <cfRule type="expression" dxfId="664" priority="96" stopIfTrue="1">
      <formula>IF(AL8&gt;9,0,1)</formula>
    </cfRule>
  </conditionalFormatting>
  <conditionalFormatting sqref="AF24 AF109 AF194">
    <cfRule type="expression" dxfId="663" priority="97" stopIfTrue="1">
      <formula>IF(AL8&gt;9,0,1)</formula>
    </cfRule>
  </conditionalFormatting>
  <conditionalFormatting sqref="A26 A111 A196">
    <cfRule type="expression" dxfId="662" priority="98" stopIfTrue="1">
      <formula>IF(AL7&gt;1,0,1)</formula>
    </cfRule>
  </conditionalFormatting>
  <conditionalFormatting sqref="A27 A112 A197">
    <cfRule type="expression" dxfId="661" priority="99" stopIfTrue="1">
      <formula>IF(AL7&gt;2,0,1)</formula>
    </cfRule>
  </conditionalFormatting>
  <conditionalFormatting sqref="A28 A113 A198">
    <cfRule type="expression" dxfId="660" priority="100" stopIfTrue="1">
      <formula>IF(AL7&gt;3,0,1)</formula>
    </cfRule>
  </conditionalFormatting>
  <conditionalFormatting sqref="A29 A114 A199">
    <cfRule type="expression" dxfId="659" priority="101" stopIfTrue="1">
      <formula>IF(AL7&gt;4,0,1)</formula>
    </cfRule>
  </conditionalFormatting>
  <conditionalFormatting sqref="B25:D25 B110:D110 B195:D195">
    <cfRule type="expression" dxfId="658" priority="102" stopIfTrue="1">
      <formula>IF($AL8&gt;0,0,1)</formula>
    </cfRule>
  </conditionalFormatting>
  <conditionalFormatting sqref="B26:D26 B111:D111 B196:D196">
    <cfRule type="expression" dxfId="657" priority="103" stopIfTrue="1">
      <formula>IF($AL8&lt;1,1,IF($AL7&lt;2,1,0))</formula>
    </cfRule>
  </conditionalFormatting>
  <conditionalFormatting sqref="B27:D27 B112:D112 B197:D197">
    <cfRule type="expression" dxfId="656" priority="104" stopIfTrue="1">
      <formula>IF($AL8&lt;1,1,IF($AL7&lt;3,1,0))</formula>
    </cfRule>
  </conditionalFormatting>
  <conditionalFormatting sqref="B28:D28 B113:D113 B198:D198">
    <cfRule type="expression" dxfId="655" priority="105" stopIfTrue="1">
      <formula>IF($AL8&lt;1,1,IF($AL7&lt;4,1,0))</formula>
    </cfRule>
  </conditionalFormatting>
  <conditionalFormatting sqref="B29:D29 B114:D114 B199:D199">
    <cfRule type="expression" dxfId="654" priority="106" stopIfTrue="1">
      <formula>IF($AL8&lt;1,1,IF($AL7&lt;5,1,0))</formula>
    </cfRule>
  </conditionalFormatting>
  <conditionalFormatting sqref="AH23 AH108 AH193">
    <cfRule type="expression" dxfId="653" priority="107" stopIfTrue="1">
      <formula>IF($AL8&lt;1,1,0)</formula>
    </cfRule>
  </conditionalFormatting>
  <conditionalFormatting sqref="AI23 AI108 AI193">
    <cfRule type="expression" dxfId="652" priority="108" stopIfTrue="1">
      <formula>IF($AL8&lt;2,1,0)</formula>
    </cfRule>
  </conditionalFormatting>
  <conditionalFormatting sqref="AJ23 AJ108 AJ193">
    <cfRule type="expression" dxfId="651" priority="109" stopIfTrue="1">
      <formula>IF($AL8&lt;3,1,0)</formula>
    </cfRule>
  </conditionalFormatting>
  <conditionalFormatting sqref="AK23 AK108 AK193">
    <cfRule type="expression" dxfId="650" priority="110" stopIfTrue="1">
      <formula>IF($AL8&lt;4,1,0)</formula>
    </cfRule>
  </conditionalFormatting>
  <conditionalFormatting sqref="AL23 AL108 AL193">
    <cfRule type="expression" dxfId="649" priority="111" stopIfTrue="1">
      <formula>IF($AL8&lt;5,1,0)</formula>
    </cfRule>
  </conditionalFormatting>
  <conditionalFormatting sqref="AM23 AM108 AM193">
    <cfRule type="expression" dxfId="648" priority="112" stopIfTrue="1">
      <formula>IF($AL8&lt;6,1,0)</formula>
    </cfRule>
  </conditionalFormatting>
  <conditionalFormatting sqref="AN23 AN108 AN193">
    <cfRule type="expression" dxfId="647" priority="113" stopIfTrue="1">
      <formula>IF($AL8&lt;7,1,0)</formula>
    </cfRule>
  </conditionalFormatting>
  <conditionalFormatting sqref="AO23 AO108 AO193">
    <cfRule type="expression" dxfId="646" priority="114" stopIfTrue="1">
      <formula>IF($AL8&lt;8,1,0)</formula>
    </cfRule>
  </conditionalFormatting>
  <conditionalFormatting sqref="AP23 AP108 AP193">
    <cfRule type="expression" dxfId="645" priority="115" stopIfTrue="1">
      <formula>IF($AL8&lt;9,1,0)</formula>
    </cfRule>
  </conditionalFormatting>
  <conditionalFormatting sqref="AQ23 AQ108 AQ193">
    <cfRule type="expression" dxfId="644" priority="116" stopIfTrue="1">
      <formula>IF($AL8&lt;10,1,0)</formula>
    </cfRule>
  </conditionalFormatting>
  <conditionalFormatting sqref="AR24 AR109 AR194">
    <cfRule type="expression" dxfId="643" priority="117" stopIfTrue="1">
      <formula>IF($AL9&gt;0,0,1)</formula>
    </cfRule>
  </conditionalFormatting>
  <conditionalFormatting sqref="AR25 AR110 AR195">
    <cfRule type="expression" dxfId="642" priority="118" stopIfTrue="1">
      <formula>IF($AL9&gt;1,0,1)</formula>
    </cfRule>
  </conditionalFormatting>
  <conditionalFormatting sqref="AR26 H25:J25 AR111 H110:J110 AR196 H195:J195">
    <cfRule type="expression" dxfId="641" priority="119" stopIfTrue="1">
      <formula>IF($AL8&gt;2,0,1)</formula>
    </cfRule>
  </conditionalFormatting>
  <conditionalFormatting sqref="L110:N110 L25:N25 L195:N195">
    <cfRule type="expression" dxfId="640" priority="120" stopIfTrue="1">
      <formula>IF($AL8&gt;3,0,1)</formula>
    </cfRule>
  </conditionalFormatting>
  <conditionalFormatting sqref="AR28 AR113 AR198">
    <cfRule type="expression" dxfId="639" priority="121" stopIfTrue="1">
      <formula>IF($AL9&gt;4,0,1)</formula>
    </cfRule>
  </conditionalFormatting>
  <conditionalFormatting sqref="E26:G26 E111:G111 E196:G196">
    <cfRule type="expression" dxfId="638" priority="122" stopIfTrue="1">
      <formula>IF($AL8&lt;2,1,IF($AL7&lt;2,1,0))</formula>
    </cfRule>
  </conditionalFormatting>
  <conditionalFormatting sqref="E27:G27 E112:G112 E197:G197">
    <cfRule type="expression" dxfId="637" priority="123" stopIfTrue="1">
      <formula>IF($AL8&lt;2,1,IF($AL7&lt;3,1,0))</formula>
    </cfRule>
  </conditionalFormatting>
  <conditionalFormatting sqref="E28:G28 E113:G113 E198:G198">
    <cfRule type="expression" dxfId="636" priority="124" stopIfTrue="1">
      <formula>IF($AL8&lt;2,1,IF($AL7&lt;4,1,0))</formula>
    </cfRule>
  </conditionalFormatting>
  <conditionalFormatting sqref="E29:G29 E114:G114 E199:G199">
    <cfRule type="expression" dxfId="635" priority="125" stopIfTrue="1">
      <formula>IF($AL8&lt;2,1,IF($AL7&lt;5,1,0))</formula>
    </cfRule>
  </conditionalFormatting>
  <conditionalFormatting sqref="O25:Q25 O110:Q110 O195:Q195">
    <cfRule type="expression" dxfId="634" priority="126" stopIfTrue="1">
      <formula>IF($AL8&gt;4,0,1)</formula>
    </cfRule>
  </conditionalFormatting>
  <conditionalFormatting sqref="R25:T25 R110:T110 R195:T195">
    <cfRule type="expression" dxfId="633" priority="127" stopIfTrue="1">
      <formula>IF($AL8&gt;5,0,1)</formula>
    </cfRule>
  </conditionalFormatting>
  <conditionalFormatting sqref="U25:W25 U110:W110 U195:W195">
    <cfRule type="expression" dxfId="632" priority="128" stopIfTrue="1">
      <formula>IF($AL8&gt;6,0,1)</formula>
    </cfRule>
  </conditionalFormatting>
  <conditionalFormatting sqref="X25:Z25 X110:Z110 X195:Z195">
    <cfRule type="expression" dxfId="631" priority="129" stopIfTrue="1">
      <formula>IF($AL8&gt;7,0,1)</formula>
    </cfRule>
  </conditionalFormatting>
  <conditionalFormatting sqref="AA25:AC25 AA110:AC110 AA195:AC195">
    <cfRule type="expression" dxfId="630" priority="130" stopIfTrue="1">
      <formula>IF($AL8&gt;8,0,1)</formula>
    </cfRule>
  </conditionalFormatting>
  <conditionalFormatting sqref="AD25:AF25 AD110:AF110 AD195:AF195">
    <cfRule type="expression" dxfId="629" priority="131" stopIfTrue="1">
      <formula>IF($AL8&gt;9,0,1)</formula>
    </cfRule>
  </conditionalFormatting>
  <conditionalFormatting sqref="H26:J26 H111:J111 H196:J196">
    <cfRule type="expression" dxfId="628" priority="132" stopIfTrue="1">
      <formula>IF($AL8&lt;3,1,IF($AL7&lt;2,1,0))</formula>
    </cfRule>
  </conditionalFormatting>
  <conditionalFormatting sqref="L26:N26 L111:N111 L196:N196">
    <cfRule type="expression" dxfId="627" priority="133" stopIfTrue="1">
      <formula>IF($AL8&lt;4,1,IF($AL7&lt;2,1,0))</formula>
    </cfRule>
  </conditionalFormatting>
  <conditionalFormatting sqref="O26:Q26 O111:Q111 O196:Q196">
    <cfRule type="expression" dxfId="626" priority="134" stopIfTrue="1">
      <formula>IF($AL8&lt;5,1,IF($AL7&lt;2,1,0))</formula>
    </cfRule>
  </conditionalFormatting>
  <conditionalFormatting sqref="R26:T26 R111:T111 R196:T196">
    <cfRule type="expression" dxfId="625" priority="135" stopIfTrue="1">
      <formula>IF($AL8&lt;6,1,IF($AL7&lt;2,1,0))</formula>
    </cfRule>
  </conditionalFormatting>
  <conditionalFormatting sqref="U26:W26 U111:W111 U196:W196">
    <cfRule type="expression" dxfId="624" priority="136" stopIfTrue="1">
      <formula>IF($AL8&lt;7,1,IF($AL7&lt;2,1,0))</formula>
    </cfRule>
  </conditionalFormatting>
  <conditionalFormatting sqref="X26:Z26 X111:Z111 X196:Z196">
    <cfRule type="expression" dxfId="623" priority="137" stopIfTrue="1">
      <formula>IF($AL8&lt;8,1,IF($AL7&lt;2,1,0))</formula>
    </cfRule>
  </conditionalFormatting>
  <conditionalFormatting sqref="AA26:AC26 AA111:AC111 AA196:AC196">
    <cfRule type="expression" dxfId="622" priority="138" stopIfTrue="1">
      <formula>IF($AL8&lt;9,1,IF($AL7&lt;2,1,0))</formula>
    </cfRule>
  </conditionalFormatting>
  <conditionalFormatting sqref="AD26:AF26 AD111:AF111 AD196:AF196">
    <cfRule type="expression" dxfId="621" priority="139" stopIfTrue="1">
      <formula>IF($AL8&lt;10,1,IF($AL7&lt;2,1,0))</formula>
    </cfRule>
  </conditionalFormatting>
  <conditionalFormatting sqref="H27:J27 H112:J112 H197:J197">
    <cfRule type="expression" dxfId="620" priority="140" stopIfTrue="1">
      <formula>IF($AL8&lt;3,1,IF($AL7&lt;3,1,0))</formula>
    </cfRule>
  </conditionalFormatting>
  <conditionalFormatting sqref="L27:N27 L112:N112 L197:N197">
    <cfRule type="expression" dxfId="619" priority="141" stopIfTrue="1">
      <formula>IF($AL8&lt;4,1,IF($AL7&lt;3,1,0))</formula>
    </cfRule>
  </conditionalFormatting>
  <conditionalFormatting sqref="O27:Q27 O112:Q112 O197:Q197">
    <cfRule type="expression" dxfId="618" priority="142" stopIfTrue="1">
      <formula>IF($AL8&lt;5,1,IF($AL7&lt;3,1,0))</formula>
    </cfRule>
  </conditionalFormatting>
  <conditionalFormatting sqref="R27:T27 R112:T112 R197:T197">
    <cfRule type="expression" dxfId="617" priority="143" stopIfTrue="1">
      <formula>IF($AL8&lt;6,1,IF($AL7&lt;3,1,0))</formula>
    </cfRule>
  </conditionalFormatting>
  <conditionalFormatting sqref="U27:W27 U112:W112 U197:W197">
    <cfRule type="expression" dxfId="616" priority="144" stopIfTrue="1">
      <formula>IF($AL8&lt;7,1,IF($AL7&lt;3,1,0))</formula>
    </cfRule>
  </conditionalFormatting>
  <conditionalFormatting sqref="X27:Z27 X112:Z112 X197:Z197">
    <cfRule type="expression" dxfId="615" priority="145" stopIfTrue="1">
      <formula>IF($AL8&lt;8,1,IF($AL7&lt;3,1,0))</formula>
    </cfRule>
  </conditionalFormatting>
  <conditionalFormatting sqref="AA27:AC27 AA112:AC112 AA197:AC197">
    <cfRule type="expression" dxfId="614" priority="146" stopIfTrue="1">
      <formula>IF($AL8&lt;9,1,IF($AL7&lt;3,1,0))</formula>
    </cfRule>
  </conditionalFormatting>
  <conditionalFormatting sqref="AD27:AF27 AD112:AF112 AD197:AF197">
    <cfRule type="expression" dxfId="613" priority="147" stopIfTrue="1">
      <formula>IF($AL8&lt;10,1,IF($AL7&lt;3,1,0))</formula>
    </cfRule>
  </conditionalFormatting>
  <conditionalFormatting sqref="H28:J28 H113:J113 H198:J198">
    <cfRule type="expression" dxfId="612" priority="148" stopIfTrue="1">
      <formula>IF($AL8&lt;3,1,IF($AL7&lt;4,1,0))</formula>
    </cfRule>
  </conditionalFormatting>
  <conditionalFormatting sqref="L28:N28 L113:N113 L198:N198">
    <cfRule type="expression" dxfId="611" priority="149" stopIfTrue="1">
      <formula>IF($AL8&lt;4,1,IF($AL7&lt;4,1,0))</formula>
    </cfRule>
  </conditionalFormatting>
  <conditionalFormatting sqref="O28:Q28 O113:Q113 O198:Q198">
    <cfRule type="expression" dxfId="610" priority="150" stopIfTrue="1">
      <formula>IF($AL8&lt;5,1,IF($AL7&lt;4,1,0))</formula>
    </cfRule>
  </conditionalFormatting>
  <conditionalFormatting sqref="R28:T28 R113:T113 R198:T198">
    <cfRule type="expression" dxfId="609" priority="151" stopIfTrue="1">
      <formula>IF($AL8&lt;6,1,IF($AL7&lt;4,1,0))</formula>
    </cfRule>
  </conditionalFormatting>
  <conditionalFormatting sqref="U28:W28 U113:W113 U198:W198">
    <cfRule type="expression" dxfId="608" priority="152" stopIfTrue="1">
      <formula>IF($AL8&lt;7,1,IF($AL7&lt;4,1,0))</formula>
    </cfRule>
  </conditionalFormatting>
  <conditionalFormatting sqref="X28:Z28 X113:Z113 X198:Z198">
    <cfRule type="expression" dxfId="607" priority="153" stopIfTrue="1">
      <formula>IF($AL8&lt;8,1,IF($AL7&lt;4,1,0))</formula>
    </cfRule>
  </conditionalFormatting>
  <conditionalFormatting sqref="AA28:AC28 AA113:AC113 AA198:AC198">
    <cfRule type="expression" dxfId="606" priority="154" stopIfTrue="1">
      <formula>IF($AL8&lt;9,1,IF($AL7&lt;4,1,0))</formula>
    </cfRule>
  </conditionalFormatting>
  <conditionalFormatting sqref="AD28:AF28 AD113:AF113 AD198:AF198">
    <cfRule type="expression" dxfId="605" priority="155" stopIfTrue="1">
      <formula>IF($AL8&lt;10,1,IF($AL7&lt;4,1,0))</formula>
    </cfRule>
  </conditionalFormatting>
  <conditionalFormatting sqref="H29:J29 H114:J114 H199:J199">
    <cfRule type="expression" dxfId="604" priority="156" stopIfTrue="1">
      <formula>IF($AL8&lt;3,1,IF($AL7&lt;5,1,0))</formula>
    </cfRule>
  </conditionalFormatting>
  <conditionalFormatting sqref="L29:N29 L114:N114 L199:N199">
    <cfRule type="expression" dxfId="603" priority="157" stopIfTrue="1">
      <formula>IF($AL8&lt;4,1,IF($AL7&lt;5,1,0))</formula>
    </cfRule>
  </conditionalFormatting>
  <conditionalFormatting sqref="O29:Q29 O114:Q114 O199:Q199">
    <cfRule type="expression" dxfId="602" priority="158" stopIfTrue="1">
      <formula>IF($AL8&lt;5,1,IF($AL7&lt;5,1,0))</formula>
    </cfRule>
  </conditionalFormatting>
  <conditionalFormatting sqref="R29:T29 R114:T114 R199:T199">
    <cfRule type="expression" dxfId="601" priority="159" stopIfTrue="1">
      <formula>IF($AL8&lt;6,1,IF($AL7&lt;5,1,0))</formula>
    </cfRule>
  </conditionalFormatting>
  <conditionalFormatting sqref="U29:W29 U114:W114 U199:W199">
    <cfRule type="expression" dxfId="600" priority="160" stopIfTrue="1">
      <formula>IF($AL8&lt;7,1,IF($AL7&lt;5,1,0))</formula>
    </cfRule>
  </conditionalFormatting>
  <conditionalFormatting sqref="X29:Z29 X114:Z114 X199:Z199">
    <cfRule type="expression" dxfId="599" priority="161" stopIfTrue="1">
      <formula>IF($AL8&lt;8,1,IF($AL7&lt;5,1,0))</formula>
    </cfRule>
  </conditionalFormatting>
  <conditionalFormatting sqref="AA29:AC29 AA114:AC114 AA199:AC199">
    <cfRule type="expression" dxfId="598" priority="162" stopIfTrue="1">
      <formula>IF($AL8&lt;9,1,IF($AL7&lt;5,1,0))</formula>
    </cfRule>
  </conditionalFormatting>
  <conditionalFormatting sqref="AD29:AF29 AD114:AF114 AD199:AF199">
    <cfRule type="expression" dxfId="597" priority="163" stopIfTrue="1">
      <formula>IF($AL8&lt;10,1,IF($AL7&lt;5,1,0))</formula>
    </cfRule>
  </conditionalFormatting>
  <conditionalFormatting sqref="S14:AC15 M14:Q15 S99:AC100 M99:Q100 S184:AC185 M184:Q185 AG14:AH15 AG99:AH100 AG184:AH185">
    <cfRule type="expression" dxfId="596" priority="164" stopIfTrue="1">
      <formula>IF($AL9&gt;3,0,1)</formula>
    </cfRule>
  </conditionalFormatting>
  <conditionalFormatting sqref="S16:AC17 M16:Q17 S101:AC102 M101:Q102 S186:AC187 M186:Q187 AG16:AH17 AG101:AH102 AG186:AH187">
    <cfRule type="expression" dxfId="595" priority="165" stopIfTrue="1">
      <formula>IF($AL9&gt;4,0,1)</formula>
    </cfRule>
  </conditionalFormatting>
  <conditionalFormatting sqref="S8:AC9 M8:Q9 S93:AC94 M93:Q94 S178:AC179 M178:Q179 AG8:AH9 AG93:AH94 AG178:AH179">
    <cfRule type="expression" dxfId="594" priority="166" stopIfTrue="1">
      <formula>IF($AL9&gt;0,0,1)</formula>
    </cfRule>
  </conditionalFormatting>
  <conditionalFormatting sqref="S10:AC11 M10:Q11 S95:AC96 M95:Q96 S180:AC181 M180:Q181 AG10:AH11 AG95:AH96 AG180:AH181">
    <cfRule type="expression" dxfId="593" priority="167" stopIfTrue="1">
      <formula>IF($AL9&gt;1,0,1)</formula>
    </cfRule>
  </conditionalFormatting>
  <conditionalFormatting sqref="S12:AC13 M12:Q13 S97:AC98 M97:Q98 S182:AC183 M182:Q183 AG12:AH13 AG97:AH98 AG182:AH183">
    <cfRule type="expression" dxfId="592" priority="168" stopIfTrue="1">
      <formula>IF($AL9&gt;2,0,1)</formula>
    </cfRule>
  </conditionalFormatting>
  <conditionalFormatting sqref="E109 E24 E194">
    <cfRule type="expression" dxfId="591" priority="169" stopIfTrue="1">
      <formula>IF(AL8&gt;1,0,1)</formula>
    </cfRule>
  </conditionalFormatting>
  <conditionalFormatting sqref="H109 H24 H194">
    <cfRule type="expression" dxfId="590" priority="170" stopIfTrue="1">
      <formula>IF(AL8&gt;2,0,1)</formula>
    </cfRule>
  </conditionalFormatting>
  <conditionalFormatting sqref="L109 L24 L194">
    <cfRule type="expression" dxfId="589" priority="171" stopIfTrue="1">
      <formula>IF(AL8&gt;3,0,1)</formula>
    </cfRule>
  </conditionalFormatting>
  <conditionalFormatting sqref="O109 O24 O194">
    <cfRule type="expression" dxfId="588" priority="172" stopIfTrue="1">
      <formula>IF(AL8&gt;4,0,1)</formula>
    </cfRule>
  </conditionalFormatting>
  <conditionalFormatting sqref="R109 R24 R194">
    <cfRule type="expression" dxfId="587" priority="173" stopIfTrue="1">
      <formula>IF(AL8&gt;5,0,1)</formula>
    </cfRule>
  </conditionalFormatting>
  <conditionalFormatting sqref="U109 U24 U194">
    <cfRule type="expression" dxfId="586" priority="174" stopIfTrue="1">
      <formula>IF(AL8&gt;6,0,1)</formula>
    </cfRule>
  </conditionalFormatting>
  <conditionalFormatting sqref="X109 X24 X194">
    <cfRule type="expression" dxfId="585" priority="175" stopIfTrue="1">
      <formula>IF(AL8&gt;7,0,1)</formula>
    </cfRule>
  </conditionalFormatting>
  <conditionalFormatting sqref="AA109 AA24 AA194">
    <cfRule type="expression" dxfId="584" priority="176" stopIfTrue="1">
      <formula>IF(AL8&gt;8,0,1)</formula>
    </cfRule>
  </conditionalFormatting>
  <conditionalFormatting sqref="AD109 AD24 AD194">
    <cfRule type="expression" dxfId="583" priority="177" stopIfTrue="1">
      <formula>IF(AL8&gt;9,0,1)</formula>
    </cfRule>
  </conditionalFormatting>
  <conditionalFormatting sqref="AR112 AR27 AR197">
    <cfRule type="expression" dxfId="582" priority="178" stopIfTrue="1">
      <formula>IF($AL9&gt;3,0,1)</formula>
    </cfRule>
  </conditionalFormatting>
  <conditionalFormatting sqref="E110:G110 E25:G25 E195:G195">
    <cfRule type="expression" dxfId="581" priority="179" stopIfTrue="1">
      <formula>IF($AL8&gt;1,0,1)</formula>
    </cfRule>
  </conditionalFormatting>
  <conditionalFormatting sqref="B106:D106 B21:D21 B191:D191">
    <cfRule type="expression" dxfId="580" priority="180" stopIfTrue="1">
      <formula>IF(AL8&gt;0,0,1)</formula>
    </cfRule>
  </conditionalFormatting>
  <conditionalFormatting sqref="E106:G106 E21:G21 E191:G191">
    <cfRule type="expression" dxfId="579" priority="181" stopIfTrue="1">
      <formula>IF(AL8&gt;1,0,1)</formula>
    </cfRule>
  </conditionalFormatting>
  <conditionalFormatting sqref="H106:K106 H21:K21 H191:K191">
    <cfRule type="expression" dxfId="578" priority="182" stopIfTrue="1">
      <formula>IF(AL8&gt;2,0,1)</formula>
    </cfRule>
  </conditionalFormatting>
  <conditionalFormatting sqref="L106:N106 L21:N21 L191:N191">
    <cfRule type="expression" dxfId="577" priority="183" stopIfTrue="1">
      <formula>IF(AL8&gt;3,0,1)</formula>
    </cfRule>
  </conditionalFormatting>
  <conditionalFormatting sqref="O106:Q106 O21:Q21 O191:Q191">
    <cfRule type="expression" dxfId="576" priority="184" stopIfTrue="1">
      <formula>IF(AL8&gt;4,0,1)</formula>
    </cfRule>
  </conditionalFormatting>
  <conditionalFormatting sqref="R106:T106 R21:T21 R191:T191">
    <cfRule type="expression" dxfId="575" priority="185" stopIfTrue="1">
      <formula>IF(AL8&gt;5,0,1)</formula>
    </cfRule>
  </conditionalFormatting>
  <conditionalFormatting sqref="U106:W106 U21:W21 U191:W191">
    <cfRule type="expression" dxfId="574" priority="186" stopIfTrue="1">
      <formula>IF(AL8&gt;6,0,1)</formula>
    </cfRule>
  </conditionalFormatting>
  <conditionalFormatting sqref="X106:Z106 X21:Z21 X191:Z191">
    <cfRule type="expression" dxfId="573" priority="187" stopIfTrue="1">
      <formula>IF(AL8&gt;7,0,1)</formula>
    </cfRule>
  </conditionalFormatting>
  <conditionalFormatting sqref="AA106:AC106 AA21:AC21 AA191:AC191">
    <cfRule type="expression" dxfId="572" priority="188" stopIfTrue="1">
      <formula>IF(AL8&gt;8,0,1)</formula>
    </cfRule>
  </conditionalFormatting>
  <conditionalFormatting sqref="AD106:AF106 AD21:AF21 AD191:AF191">
    <cfRule type="expression" dxfId="571" priority="189" stopIfTrue="1">
      <formula>IF(AL8&gt;9,0,1)</formula>
    </cfRule>
  </conditionalFormatting>
  <conditionalFormatting sqref="C315:C316 AE314:AE316 E310:J313 Y315:Y316 X306:X307 Y306:Z306 X309:Z314 AA310:AF313 AB314:AB316 I314:I316 E358:J361 B306:B307 C306:D306 B309:D314 X357:Z358 Y359:Y360 AB358:AB360 X354:X355 AE358:AE360 F362:F364 B354:B355 C354:D354 B357:D362 C363:C364 F314:F316 I362:I364">
    <cfRule type="expression" dxfId="570" priority="190" stopIfTrue="1">
      <formula>IF(#REF!&gt;0,0,1)</formula>
    </cfRule>
  </conditionalFormatting>
  <conditionalFormatting sqref="H306:H309 I306:K306 I309:J309 J314 AD306:AD309 AE306:AF306 AF314 AE309:AF309 AD314 H314 AD354:AD358 AF357:AF358 AE357 AG358 H362 H354:H357 I354:K354 I357:J357 J362">
    <cfRule type="expression" dxfId="569" priority="191" stopIfTrue="1">
      <formula>IF(#REF!&gt;2,0,1)</formula>
    </cfRule>
  </conditionalFormatting>
  <conditionalFormatting sqref="H315 J315 AD315 AF315 AD359 AF359 H363 J363">
    <cfRule type="expression" dxfId="568" priority="192" stopIfTrue="1">
      <formula>IF(#REF!&lt;3,1,IF(#REF!&lt;2,1,0))</formula>
    </cfRule>
  </conditionalFormatting>
  <conditionalFormatting sqref="J316 AD316 AF316 H364 AD360 AF360 H316 J364">
    <cfRule type="expression" dxfId="567" priority="193" stopIfTrue="1">
      <formula>IF(#REF!&lt;3,1,IF(#REF!&lt;3,1,0))</formula>
    </cfRule>
  </conditionalFormatting>
  <conditionalFormatting sqref="E306:E309 AB306:AC306 AC314 AB309:AC309 AA314 AA306:AA309 F306:G306 G314 F309:G309 E314 AA354:AA358 AC357:AC358 AB357 F354:G354 G362 F357:G357 E362 E354:E357">
    <cfRule type="expression" dxfId="566" priority="194" stopIfTrue="1">
      <formula>IF(#REF!&gt;1,0,1)</formula>
    </cfRule>
  </conditionalFormatting>
  <conditionalFormatting sqref="B315 D315 X315 Z315 X359 Z359 B363 D363">
    <cfRule type="expression" dxfId="565" priority="195" stopIfTrue="1">
      <formula>IF(#REF!&lt;1,1,IF(#REF!&lt;2,1,0))</formula>
    </cfRule>
  </conditionalFormatting>
  <conditionalFormatting sqref="E315 G315 AA315 AC315 AA359 AC359 E363 G363">
    <cfRule type="expression" dxfId="564" priority="196" stopIfTrue="1">
      <formula>IF(#REF!&lt;2,1,IF(#REF!&lt;2,1,0))</formula>
    </cfRule>
  </conditionalFormatting>
  <conditionalFormatting sqref="D316 X316 Z316 B364 X360 Z360 B316 D364">
    <cfRule type="expression" dxfId="563" priority="197" stopIfTrue="1">
      <formula>IF(#REF!&lt;1,1,IF(#REF!&lt;3,1,0))</formula>
    </cfRule>
  </conditionalFormatting>
  <conditionalFormatting sqref="G316 AA316 AC316 E364 AA360 AC360 E316 G364">
    <cfRule type="expression" dxfId="562" priority="198" stopIfTrue="1">
      <formula>IF(#REF!&lt;2,1,IF(#REF!&lt;3,1,0))</formula>
    </cfRule>
  </conditionalFormatting>
  <conditionalFormatting sqref="AH24:AQ28 AH109:AQ113 AH194:AQ198">
    <cfRule type="cellIs" dxfId="561" priority="199" stopIfTrue="1" operator="notBetween">
      <formula>-9999</formula>
      <formula>9999</formula>
    </cfRule>
  </conditionalFormatting>
  <conditionalFormatting sqref="B18 B103 B188">
    <cfRule type="expression" dxfId="560" priority="200" stopIfTrue="1">
      <formula>IF($AL$179&gt;0,0,1)</formula>
    </cfRule>
  </conditionalFormatting>
  <conditionalFormatting sqref="B22:D23 B107:D108 B192:D193">
    <cfRule type="cellIs" dxfId="559" priority="201" stopIfTrue="1" operator="equal">
      <formula>99</formula>
    </cfRule>
  </conditionalFormatting>
  <conditionalFormatting sqref="AD7 AD92 AD177">
    <cfRule type="expression" dxfId="558" priority="202" stopIfTrue="1">
      <formula>IF($AL$11=0,1,0)</formula>
    </cfRule>
  </conditionalFormatting>
  <conditionalFormatting sqref="C317 F317 Y317 AB317 C365 F365">
    <cfRule type="expression" dxfId="557" priority="203" stopIfTrue="1">
      <formula>IF(#REF!&gt;0,0,1)</formula>
    </cfRule>
  </conditionalFormatting>
  <conditionalFormatting sqref="K306">
    <cfRule type="expression" dxfId="556" priority="3" stopIfTrue="1">
      <formula>IF(ISNUMBER(K314),0,1)</formula>
    </cfRule>
  </conditionalFormatting>
  <conditionalFormatting sqref="K354">
    <cfRule type="expression" dxfId="555" priority="2" stopIfTrue="1">
      <formula>IF(ISNUMBER(K362),0,1)</formula>
    </cfRule>
  </conditionalFormatting>
  <conditionalFormatting sqref="AG306">
    <cfRule type="expression" dxfId="554" priority="1" stopIfTrue="1">
      <formula>IF(ISNUMBER(AG314),0,1)</formula>
    </cfRule>
  </conditionalFormatting>
  <pageMargins left="0.25" right="0.25" top="0.25" bottom="0.25" header="0" footer="0"/>
  <pageSetup scale="78" fitToHeight="6" orientation="landscape" r:id="rId1"/>
  <headerFooter alignWithMargins="0"/>
  <rowBreaks count="4" manualBreakCount="4">
    <brk id="90" max="43" man="1"/>
    <brk id="175" max="43" man="1"/>
    <brk id="260" max="43" man="1"/>
    <brk id="325" max="43" man="1"/>
  </rowBreaks>
  <drawing r:id="rId2"/>
  <legacyDrawing r:id="rId3"/>
  <controls>
    <mc:AlternateContent xmlns:mc="http://schemas.openxmlformats.org/markup-compatibility/2006">
      <mc:Choice Requires="x14">
        <control shapeId="35843" r:id="rId4" name="Pool3RecalcFinish">
          <controlPr defaultSize="0" autoLine="0" r:id="rId5">
            <anchor moveWithCells="1" sizeWithCells="1">
              <from>
                <xdr:col>37</xdr:col>
                <xdr:colOff>104775</xdr:colOff>
                <xdr:row>183</xdr:row>
                <xdr:rowOff>9525</xdr:rowOff>
              </from>
              <to>
                <xdr:col>42</xdr:col>
                <xdr:colOff>228600</xdr:colOff>
                <xdr:row>186</xdr:row>
                <xdr:rowOff>104775</xdr:rowOff>
              </to>
            </anchor>
          </controlPr>
        </control>
      </mc:Choice>
      <mc:Fallback>
        <control shapeId="35843" r:id="rId4" name="Pool3RecalcFinish"/>
      </mc:Fallback>
    </mc:AlternateContent>
    <mc:AlternateContent xmlns:mc="http://schemas.openxmlformats.org/markup-compatibility/2006">
      <mc:Choice Requires="x14">
        <control shapeId="35842" r:id="rId6" name="Pool2RecalcFinish">
          <controlPr defaultSize="0" autoLine="0" r:id="rId7">
            <anchor moveWithCells="1" sizeWithCells="1">
              <from>
                <xdr:col>37</xdr:col>
                <xdr:colOff>104775</xdr:colOff>
                <xdr:row>98</xdr:row>
                <xdr:rowOff>9525</xdr:rowOff>
              </from>
              <to>
                <xdr:col>42</xdr:col>
                <xdr:colOff>228600</xdr:colOff>
                <xdr:row>101</xdr:row>
                <xdr:rowOff>104775</xdr:rowOff>
              </to>
            </anchor>
          </controlPr>
        </control>
      </mc:Choice>
      <mc:Fallback>
        <control shapeId="35842" r:id="rId6" name="Pool2RecalcFinish"/>
      </mc:Fallback>
    </mc:AlternateContent>
    <mc:AlternateContent xmlns:mc="http://schemas.openxmlformats.org/markup-compatibility/2006">
      <mc:Choice Requires="x14">
        <control shapeId="35841" r:id="rId8" name="Pool1RecalcFinish">
          <controlPr defaultSize="0" autoLine="0" r:id="rId9">
            <anchor moveWithCells="1" sizeWithCells="1">
              <from>
                <xdr:col>37</xdr:col>
                <xdr:colOff>104775</xdr:colOff>
                <xdr:row>13</xdr:row>
                <xdr:rowOff>9525</xdr:rowOff>
              </from>
              <to>
                <xdr:col>42</xdr:col>
                <xdr:colOff>228600</xdr:colOff>
                <xdr:row>16</xdr:row>
                <xdr:rowOff>104775</xdr:rowOff>
              </to>
            </anchor>
          </controlPr>
        </control>
      </mc:Choice>
      <mc:Fallback>
        <control shapeId="35841" r:id="rId8" name="Pool1RecalcFinish"/>
      </mc:Fallback>
    </mc:AlternateContent>
  </control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4">
    <tabColor indexed="11"/>
  </sheetPr>
  <dimension ref="A1:CC658"/>
  <sheetViews>
    <sheetView topLeftCell="AM1" zoomScale="70" zoomScaleNormal="70" workbookViewId="0">
      <selection activeCell="AW4" sqref="AW4"/>
    </sheetView>
  </sheetViews>
  <sheetFormatPr defaultRowHeight="12.75"/>
  <cols>
    <col min="1" max="1" width="9.140625" style="3"/>
    <col min="2" max="2" width="3.7109375" style="3" customWidth="1"/>
    <col min="3" max="3" width="2.28515625" style="3" customWidth="1"/>
    <col min="4" max="5" width="3.7109375" style="3" customWidth="1"/>
    <col min="6" max="6" width="2.28515625" style="3" customWidth="1"/>
    <col min="7" max="8" width="3.7109375" style="3" customWidth="1"/>
    <col min="9" max="9" width="2.28515625" style="3" customWidth="1"/>
    <col min="10" max="12" width="3.7109375" style="3" customWidth="1"/>
    <col min="13" max="13" width="2.28515625" style="3" customWidth="1"/>
    <col min="14" max="15" width="3.7109375" style="3" customWidth="1"/>
    <col min="16" max="16" width="2.28515625" style="3" customWidth="1"/>
    <col min="17" max="18" width="3.7109375" style="3" customWidth="1"/>
    <col min="19" max="19" width="2.28515625" style="3" customWidth="1"/>
    <col min="20" max="21" width="3.7109375" style="3" customWidth="1"/>
    <col min="22" max="22" width="2.28515625" style="3" customWidth="1"/>
    <col min="23" max="24" width="3.7109375" style="3" customWidth="1"/>
    <col min="25" max="25" width="2.28515625" style="3" customWidth="1"/>
    <col min="26" max="27" width="3.7109375" style="3" customWidth="1"/>
    <col min="28" max="28" width="2.28515625" style="3" customWidth="1"/>
    <col min="29" max="30" width="3.7109375" style="3" customWidth="1"/>
    <col min="31" max="31" width="2.28515625" style="3" customWidth="1"/>
    <col min="32" max="32" width="3.7109375" style="3" customWidth="1"/>
    <col min="33" max="33" width="9.7109375" style="3" customWidth="1"/>
    <col min="34" max="43" width="3.7109375" style="3" customWidth="1"/>
    <col min="44" max="44" width="11" style="3" customWidth="1"/>
    <col min="45" max="46" width="9.140625" style="3"/>
    <col min="47" max="47" width="24.42578125" style="3" customWidth="1"/>
    <col min="48" max="48" width="18.5703125" style="3" customWidth="1"/>
    <col min="49" max="49" width="15.140625" style="39" customWidth="1"/>
    <col min="50" max="50" width="10.5703125" style="3" customWidth="1"/>
    <col min="51" max="51" width="11.140625" style="3" customWidth="1"/>
    <col min="52" max="52" width="25" style="3" customWidth="1"/>
    <col min="53" max="53" width="6" style="3" customWidth="1"/>
    <col min="54" max="257" width="9.140625" style="3"/>
    <col min="258" max="258" width="3.7109375" style="3" customWidth="1"/>
    <col min="259" max="259" width="2.28515625" style="3" customWidth="1"/>
    <col min="260" max="261" width="3.7109375" style="3" customWidth="1"/>
    <col min="262" max="262" width="2.28515625" style="3" customWidth="1"/>
    <col min="263" max="264" width="3.7109375" style="3" customWidth="1"/>
    <col min="265" max="265" width="2.28515625" style="3" customWidth="1"/>
    <col min="266" max="268" width="3.7109375" style="3" customWidth="1"/>
    <col min="269" max="269" width="2.28515625" style="3" customWidth="1"/>
    <col min="270" max="271" width="3.7109375" style="3" customWidth="1"/>
    <col min="272" max="272" width="2.28515625" style="3" customWidth="1"/>
    <col min="273" max="274" width="3.7109375" style="3" customWidth="1"/>
    <col min="275" max="275" width="2.28515625" style="3" customWidth="1"/>
    <col min="276" max="277" width="3.7109375" style="3" customWidth="1"/>
    <col min="278" max="278" width="2.28515625" style="3" customWidth="1"/>
    <col min="279" max="280" width="3.7109375" style="3" customWidth="1"/>
    <col min="281" max="281" width="2.28515625" style="3" customWidth="1"/>
    <col min="282" max="283" width="3.7109375" style="3" customWidth="1"/>
    <col min="284" max="284" width="2.28515625" style="3" customWidth="1"/>
    <col min="285" max="286" width="3.7109375" style="3" customWidth="1"/>
    <col min="287" max="287" width="2.28515625" style="3" customWidth="1"/>
    <col min="288" max="288" width="3.7109375" style="3" customWidth="1"/>
    <col min="289" max="289" width="9.7109375" style="3" customWidth="1"/>
    <col min="290" max="299" width="3.7109375" style="3" customWidth="1"/>
    <col min="300" max="300" width="11" style="3" customWidth="1"/>
    <col min="301" max="302" width="9.140625" style="3"/>
    <col min="303" max="303" width="24.42578125" style="3" customWidth="1"/>
    <col min="304" max="304" width="18.5703125" style="3" customWidth="1"/>
    <col min="305" max="305" width="15.140625" style="3" customWidth="1"/>
    <col min="306" max="306" width="10.5703125" style="3" customWidth="1"/>
    <col min="307" max="307" width="11.140625" style="3" customWidth="1"/>
    <col min="308" max="308" width="25" style="3" customWidth="1"/>
    <col min="309" max="309" width="6" style="3" customWidth="1"/>
    <col min="310" max="513" width="9.140625" style="3"/>
    <col min="514" max="514" width="3.7109375" style="3" customWidth="1"/>
    <col min="515" max="515" width="2.28515625" style="3" customWidth="1"/>
    <col min="516" max="517" width="3.7109375" style="3" customWidth="1"/>
    <col min="518" max="518" width="2.28515625" style="3" customWidth="1"/>
    <col min="519" max="520" width="3.7109375" style="3" customWidth="1"/>
    <col min="521" max="521" width="2.28515625" style="3" customWidth="1"/>
    <col min="522" max="524" width="3.7109375" style="3" customWidth="1"/>
    <col min="525" max="525" width="2.28515625" style="3" customWidth="1"/>
    <col min="526" max="527" width="3.7109375" style="3" customWidth="1"/>
    <col min="528" max="528" width="2.28515625" style="3" customWidth="1"/>
    <col min="529" max="530" width="3.7109375" style="3" customWidth="1"/>
    <col min="531" max="531" width="2.28515625" style="3" customWidth="1"/>
    <col min="532" max="533" width="3.7109375" style="3" customWidth="1"/>
    <col min="534" max="534" width="2.28515625" style="3" customWidth="1"/>
    <col min="535" max="536" width="3.7109375" style="3" customWidth="1"/>
    <col min="537" max="537" width="2.28515625" style="3" customWidth="1"/>
    <col min="538" max="539" width="3.7109375" style="3" customWidth="1"/>
    <col min="540" max="540" width="2.28515625" style="3" customWidth="1"/>
    <col min="541" max="542" width="3.7109375" style="3" customWidth="1"/>
    <col min="543" max="543" width="2.28515625" style="3" customWidth="1"/>
    <col min="544" max="544" width="3.7109375" style="3" customWidth="1"/>
    <col min="545" max="545" width="9.7109375" style="3" customWidth="1"/>
    <col min="546" max="555" width="3.7109375" style="3" customWidth="1"/>
    <col min="556" max="556" width="11" style="3" customWidth="1"/>
    <col min="557" max="558" width="9.140625" style="3"/>
    <col min="559" max="559" width="24.42578125" style="3" customWidth="1"/>
    <col min="560" max="560" width="18.5703125" style="3" customWidth="1"/>
    <col min="561" max="561" width="15.140625" style="3" customWidth="1"/>
    <col min="562" max="562" width="10.5703125" style="3" customWidth="1"/>
    <col min="563" max="563" width="11.140625" style="3" customWidth="1"/>
    <col min="564" max="564" width="25" style="3" customWidth="1"/>
    <col min="565" max="565" width="6" style="3" customWidth="1"/>
    <col min="566" max="769" width="9.140625" style="3"/>
    <col min="770" max="770" width="3.7109375" style="3" customWidth="1"/>
    <col min="771" max="771" width="2.28515625" style="3" customWidth="1"/>
    <col min="772" max="773" width="3.7109375" style="3" customWidth="1"/>
    <col min="774" max="774" width="2.28515625" style="3" customWidth="1"/>
    <col min="775" max="776" width="3.7109375" style="3" customWidth="1"/>
    <col min="777" max="777" width="2.28515625" style="3" customWidth="1"/>
    <col min="778" max="780" width="3.7109375" style="3" customWidth="1"/>
    <col min="781" max="781" width="2.28515625" style="3" customWidth="1"/>
    <col min="782" max="783" width="3.7109375" style="3" customWidth="1"/>
    <col min="784" max="784" width="2.28515625" style="3" customWidth="1"/>
    <col min="785" max="786" width="3.7109375" style="3" customWidth="1"/>
    <col min="787" max="787" width="2.28515625" style="3" customWidth="1"/>
    <col min="788" max="789" width="3.7109375" style="3" customWidth="1"/>
    <col min="790" max="790" width="2.28515625" style="3" customWidth="1"/>
    <col min="791" max="792" width="3.7109375" style="3" customWidth="1"/>
    <col min="793" max="793" width="2.28515625" style="3" customWidth="1"/>
    <col min="794" max="795" width="3.7109375" style="3" customWidth="1"/>
    <col min="796" max="796" width="2.28515625" style="3" customWidth="1"/>
    <col min="797" max="798" width="3.7109375" style="3" customWidth="1"/>
    <col min="799" max="799" width="2.28515625" style="3" customWidth="1"/>
    <col min="800" max="800" width="3.7109375" style="3" customWidth="1"/>
    <col min="801" max="801" width="9.7109375" style="3" customWidth="1"/>
    <col min="802" max="811" width="3.7109375" style="3" customWidth="1"/>
    <col min="812" max="812" width="11" style="3" customWidth="1"/>
    <col min="813" max="814" width="9.140625" style="3"/>
    <col min="815" max="815" width="24.42578125" style="3" customWidth="1"/>
    <col min="816" max="816" width="18.5703125" style="3" customWidth="1"/>
    <col min="817" max="817" width="15.140625" style="3" customWidth="1"/>
    <col min="818" max="818" width="10.5703125" style="3" customWidth="1"/>
    <col min="819" max="819" width="11.140625" style="3" customWidth="1"/>
    <col min="820" max="820" width="25" style="3" customWidth="1"/>
    <col min="821" max="821" width="6" style="3" customWidth="1"/>
    <col min="822" max="1025" width="9.140625" style="3"/>
    <col min="1026" max="1026" width="3.7109375" style="3" customWidth="1"/>
    <col min="1027" max="1027" width="2.28515625" style="3" customWidth="1"/>
    <col min="1028" max="1029" width="3.7109375" style="3" customWidth="1"/>
    <col min="1030" max="1030" width="2.28515625" style="3" customWidth="1"/>
    <col min="1031" max="1032" width="3.7109375" style="3" customWidth="1"/>
    <col min="1033" max="1033" width="2.28515625" style="3" customWidth="1"/>
    <col min="1034" max="1036" width="3.7109375" style="3" customWidth="1"/>
    <col min="1037" max="1037" width="2.28515625" style="3" customWidth="1"/>
    <col min="1038" max="1039" width="3.7109375" style="3" customWidth="1"/>
    <col min="1040" max="1040" width="2.28515625" style="3" customWidth="1"/>
    <col min="1041" max="1042" width="3.7109375" style="3" customWidth="1"/>
    <col min="1043" max="1043" width="2.28515625" style="3" customWidth="1"/>
    <col min="1044" max="1045" width="3.7109375" style="3" customWidth="1"/>
    <col min="1046" max="1046" width="2.28515625" style="3" customWidth="1"/>
    <col min="1047" max="1048" width="3.7109375" style="3" customWidth="1"/>
    <col min="1049" max="1049" width="2.28515625" style="3" customWidth="1"/>
    <col min="1050" max="1051" width="3.7109375" style="3" customWidth="1"/>
    <col min="1052" max="1052" width="2.28515625" style="3" customWidth="1"/>
    <col min="1053" max="1054" width="3.7109375" style="3" customWidth="1"/>
    <col min="1055" max="1055" width="2.28515625" style="3" customWidth="1"/>
    <col min="1056" max="1056" width="3.7109375" style="3" customWidth="1"/>
    <col min="1057" max="1057" width="9.7109375" style="3" customWidth="1"/>
    <col min="1058" max="1067" width="3.7109375" style="3" customWidth="1"/>
    <col min="1068" max="1068" width="11" style="3" customWidth="1"/>
    <col min="1069" max="1070" width="9.140625" style="3"/>
    <col min="1071" max="1071" width="24.42578125" style="3" customWidth="1"/>
    <col min="1072" max="1072" width="18.5703125" style="3" customWidth="1"/>
    <col min="1073" max="1073" width="15.140625" style="3" customWidth="1"/>
    <col min="1074" max="1074" width="10.5703125" style="3" customWidth="1"/>
    <col min="1075" max="1075" width="11.140625" style="3" customWidth="1"/>
    <col min="1076" max="1076" width="25" style="3" customWidth="1"/>
    <col min="1077" max="1077" width="6" style="3" customWidth="1"/>
    <col min="1078" max="1281" width="9.140625" style="3"/>
    <col min="1282" max="1282" width="3.7109375" style="3" customWidth="1"/>
    <col min="1283" max="1283" width="2.28515625" style="3" customWidth="1"/>
    <col min="1284" max="1285" width="3.7109375" style="3" customWidth="1"/>
    <col min="1286" max="1286" width="2.28515625" style="3" customWidth="1"/>
    <col min="1287" max="1288" width="3.7109375" style="3" customWidth="1"/>
    <col min="1289" max="1289" width="2.28515625" style="3" customWidth="1"/>
    <col min="1290" max="1292" width="3.7109375" style="3" customWidth="1"/>
    <col min="1293" max="1293" width="2.28515625" style="3" customWidth="1"/>
    <col min="1294" max="1295" width="3.7109375" style="3" customWidth="1"/>
    <col min="1296" max="1296" width="2.28515625" style="3" customWidth="1"/>
    <col min="1297" max="1298" width="3.7109375" style="3" customWidth="1"/>
    <col min="1299" max="1299" width="2.28515625" style="3" customWidth="1"/>
    <col min="1300" max="1301" width="3.7109375" style="3" customWidth="1"/>
    <col min="1302" max="1302" width="2.28515625" style="3" customWidth="1"/>
    <col min="1303" max="1304" width="3.7109375" style="3" customWidth="1"/>
    <col min="1305" max="1305" width="2.28515625" style="3" customWidth="1"/>
    <col min="1306" max="1307" width="3.7109375" style="3" customWidth="1"/>
    <col min="1308" max="1308" width="2.28515625" style="3" customWidth="1"/>
    <col min="1309" max="1310" width="3.7109375" style="3" customWidth="1"/>
    <col min="1311" max="1311" width="2.28515625" style="3" customWidth="1"/>
    <col min="1312" max="1312" width="3.7109375" style="3" customWidth="1"/>
    <col min="1313" max="1313" width="9.7109375" style="3" customWidth="1"/>
    <col min="1314" max="1323" width="3.7109375" style="3" customWidth="1"/>
    <col min="1324" max="1324" width="11" style="3" customWidth="1"/>
    <col min="1325" max="1326" width="9.140625" style="3"/>
    <col min="1327" max="1327" width="24.42578125" style="3" customWidth="1"/>
    <col min="1328" max="1328" width="18.5703125" style="3" customWidth="1"/>
    <col min="1329" max="1329" width="15.140625" style="3" customWidth="1"/>
    <col min="1330" max="1330" width="10.5703125" style="3" customWidth="1"/>
    <col min="1331" max="1331" width="11.140625" style="3" customWidth="1"/>
    <col min="1332" max="1332" width="25" style="3" customWidth="1"/>
    <col min="1333" max="1333" width="6" style="3" customWidth="1"/>
    <col min="1334" max="1537" width="9.140625" style="3"/>
    <col min="1538" max="1538" width="3.7109375" style="3" customWidth="1"/>
    <col min="1539" max="1539" width="2.28515625" style="3" customWidth="1"/>
    <col min="1540" max="1541" width="3.7109375" style="3" customWidth="1"/>
    <col min="1542" max="1542" width="2.28515625" style="3" customWidth="1"/>
    <col min="1543" max="1544" width="3.7109375" style="3" customWidth="1"/>
    <col min="1545" max="1545" width="2.28515625" style="3" customWidth="1"/>
    <col min="1546" max="1548" width="3.7109375" style="3" customWidth="1"/>
    <col min="1549" max="1549" width="2.28515625" style="3" customWidth="1"/>
    <col min="1550" max="1551" width="3.7109375" style="3" customWidth="1"/>
    <col min="1552" max="1552" width="2.28515625" style="3" customWidth="1"/>
    <col min="1553" max="1554" width="3.7109375" style="3" customWidth="1"/>
    <col min="1555" max="1555" width="2.28515625" style="3" customWidth="1"/>
    <col min="1556" max="1557" width="3.7109375" style="3" customWidth="1"/>
    <col min="1558" max="1558" width="2.28515625" style="3" customWidth="1"/>
    <col min="1559" max="1560" width="3.7109375" style="3" customWidth="1"/>
    <col min="1561" max="1561" width="2.28515625" style="3" customWidth="1"/>
    <col min="1562" max="1563" width="3.7109375" style="3" customWidth="1"/>
    <col min="1564" max="1564" width="2.28515625" style="3" customWidth="1"/>
    <col min="1565" max="1566" width="3.7109375" style="3" customWidth="1"/>
    <col min="1567" max="1567" width="2.28515625" style="3" customWidth="1"/>
    <col min="1568" max="1568" width="3.7109375" style="3" customWidth="1"/>
    <col min="1569" max="1569" width="9.7109375" style="3" customWidth="1"/>
    <col min="1570" max="1579" width="3.7109375" style="3" customWidth="1"/>
    <col min="1580" max="1580" width="11" style="3" customWidth="1"/>
    <col min="1581" max="1582" width="9.140625" style="3"/>
    <col min="1583" max="1583" width="24.42578125" style="3" customWidth="1"/>
    <col min="1584" max="1584" width="18.5703125" style="3" customWidth="1"/>
    <col min="1585" max="1585" width="15.140625" style="3" customWidth="1"/>
    <col min="1586" max="1586" width="10.5703125" style="3" customWidth="1"/>
    <col min="1587" max="1587" width="11.140625" style="3" customWidth="1"/>
    <col min="1588" max="1588" width="25" style="3" customWidth="1"/>
    <col min="1589" max="1589" width="6" style="3" customWidth="1"/>
    <col min="1590" max="1793" width="9.140625" style="3"/>
    <col min="1794" max="1794" width="3.7109375" style="3" customWidth="1"/>
    <col min="1795" max="1795" width="2.28515625" style="3" customWidth="1"/>
    <col min="1796" max="1797" width="3.7109375" style="3" customWidth="1"/>
    <col min="1798" max="1798" width="2.28515625" style="3" customWidth="1"/>
    <col min="1799" max="1800" width="3.7109375" style="3" customWidth="1"/>
    <col min="1801" max="1801" width="2.28515625" style="3" customWidth="1"/>
    <col min="1802" max="1804" width="3.7109375" style="3" customWidth="1"/>
    <col min="1805" max="1805" width="2.28515625" style="3" customWidth="1"/>
    <col min="1806" max="1807" width="3.7109375" style="3" customWidth="1"/>
    <col min="1808" max="1808" width="2.28515625" style="3" customWidth="1"/>
    <col min="1809" max="1810" width="3.7109375" style="3" customWidth="1"/>
    <col min="1811" max="1811" width="2.28515625" style="3" customWidth="1"/>
    <col min="1812" max="1813" width="3.7109375" style="3" customWidth="1"/>
    <col min="1814" max="1814" width="2.28515625" style="3" customWidth="1"/>
    <col min="1815" max="1816" width="3.7109375" style="3" customWidth="1"/>
    <col min="1817" max="1817" width="2.28515625" style="3" customWidth="1"/>
    <col min="1818" max="1819" width="3.7109375" style="3" customWidth="1"/>
    <col min="1820" max="1820" width="2.28515625" style="3" customWidth="1"/>
    <col min="1821" max="1822" width="3.7109375" style="3" customWidth="1"/>
    <col min="1823" max="1823" width="2.28515625" style="3" customWidth="1"/>
    <col min="1824" max="1824" width="3.7109375" style="3" customWidth="1"/>
    <col min="1825" max="1825" width="9.7109375" style="3" customWidth="1"/>
    <col min="1826" max="1835" width="3.7109375" style="3" customWidth="1"/>
    <col min="1836" max="1836" width="11" style="3" customWidth="1"/>
    <col min="1837" max="1838" width="9.140625" style="3"/>
    <col min="1839" max="1839" width="24.42578125" style="3" customWidth="1"/>
    <col min="1840" max="1840" width="18.5703125" style="3" customWidth="1"/>
    <col min="1841" max="1841" width="15.140625" style="3" customWidth="1"/>
    <col min="1842" max="1842" width="10.5703125" style="3" customWidth="1"/>
    <col min="1843" max="1843" width="11.140625" style="3" customWidth="1"/>
    <col min="1844" max="1844" width="25" style="3" customWidth="1"/>
    <col min="1845" max="1845" width="6" style="3" customWidth="1"/>
    <col min="1846" max="2049" width="9.140625" style="3"/>
    <col min="2050" max="2050" width="3.7109375" style="3" customWidth="1"/>
    <col min="2051" max="2051" width="2.28515625" style="3" customWidth="1"/>
    <col min="2052" max="2053" width="3.7109375" style="3" customWidth="1"/>
    <col min="2054" max="2054" width="2.28515625" style="3" customWidth="1"/>
    <col min="2055" max="2056" width="3.7109375" style="3" customWidth="1"/>
    <col min="2057" max="2057" width="2.28515625" style="3" customWidth="1"/>
    <col min="2058" max="2060" width="3.7109375" style="3" customWidth="1"/>
    <col min="2061" max="2061" width="2.28515625" style="3" customWidth="1"/>
    <col min="2062" max="2063" width="3.7109375" style="3" customWidth="1"/>
    <col min="2064" max="2064" width="2.28515625" style="3" customWidth="1"/>
    <col min="2065" max="2066" width="3.7109375" style="3" customWidth="1"/>
    <col min="2067" max="2067" width="2.28515625" style="3" customWidth="1"/>
    <col min="2068" max="2069" width="3.7109375" style="3" customWidth="1"/>
    <col min="2070" max="2070" width="2.28515625" style="3" customWidth="1"/>
    <col min="2071" max="2072" width="3.7109375" style="3" customWidth="1"/>
    <col min="2073" max="2073" width="2.28515625" style="3" customWidth="1"/>
    <col min="2074" max="2075" width="3.7109375" style="3" customWidth="1"/>
    <col min="2076" max="2076" width="2.28515625" style="3" customWidth="1"/>
    <col min="2077" max="2078" width="3.7109375" style="3" customWidth="1"/>
    <col min="2079" max="2079" width="2.28515625" style="3" customWidth="1"/>
    <col min="2080" max="2080" width="3.7109375" style="3" customWidth="1"/>
    <col min="2081" max="2081" width="9.7109375" style="3" customWidth="1"/>
    <col min="2082" max="2091" width="3.7109375" style="3" customWidth="1"/>
    <col min="2092" max="2092" width="11" style="3" customWidth="1"/>
    <col min="2093" max="2094" width="9.140625" style="3"/>
    <col min="2095" max="2095" width="24.42578125" style="3" customWidth="1"/>
    <col min="2096" max="2096" width="18.5703125" style="3" customWidth="1"/>
    <col min="2097" max="2097" width="15.140625" style="3" customWidth="1"/>
    <col min="2098" max="2098" width="10.5703125" style="3" customWidth="1"/>
    <col min="2099" max="2099" width="11.140625" style="3" customWidth="1"/>
    <col min="2100" max="2100" width="25" style="3" customWidth="1"/>
    <col min="2101" max="2101" width="6" style="3" customWidth="1"/>
    <col min="2102" max="2305" width="9.140625" style="3"/>
    <col min="2306" max="2306" width="3.7109375" style="3" customWidth="1"/>
    <col min="2307" max="2307" width="2.28515625" style="3" customWidth="1"/>
    <col min="2308" max="2309" width="3.7109375" style="3" customWidth="1"/>
    <col min="2310" max="2310" width="2.28515625" style="3" customWidth="1"/>
    <col min="2311" max="2312" width="3.7109375" style="3" customWidth="1"/>
    <col min="2313" max="2313" width="2.28515625" style="3" customWidth="1"/>
    <col min="2314" max="2316" width="3.7109375" style="3" customWidth="1"/>
    <col min="2317" max="2317" width="2.28515625" style="3" customWidth="1"/>
    <col min="2318" max="2319" width="3.7109375" style="3" customWidth="1"/>
    <col min="2320" max="2320" width="2.28515625" style="3" customWidth="1"/>
    <col min="2321" max="2322" width="3.7109375" style="3" customWidth="1"/>
    <col min="2323" max="2323" width="2.28515625" style="3" customWidth="1"/>
    <col min="2324" max="2325" width="3.7109375" style="3" customWidth="1"/>
    <col min="2326" max="2326" width="2.28515625" style="3" customWidth="1"/>
    <col min="2327" max="2328" width="3.7109375" style="3" customWidth="1"/>
    <col min="2329" max="2329" width="2.28515625" style="3" customWidth="1"/>
    <col min="2330" max="2331" width="3.7109375" style="3" customWidth="1"/>
    <col min="2332" max="2332" width="2.28515625" style="3" customWidth="1"/>
    <col min="2333" max="2334" width="3.7109375" style="3" customWidth="1"/>
    <col min="2335" max="2335" width="2.28515625" style="3" customWidth="1"/>
    <col min="2336" max="2336" width="3.7109375" style="3" customWidth="1"/>
    <col min="2337" max="2337" width="9.7109375" style="3" customWidth="1"/>
    <col min="2338" max="2347" width="3.7109375" style="3" customWidth="1"/>
    <col min="2348" max="2348" width="11" style="3" customWidth="1"/>
    <col min="2349" max="2350" width="9.140625" style="3"/>
    <col min="2351" max="2351" width="24.42578125" style="3" customWidth="1"/>
    <col min="2352" max="2352" width="18.5703125" style="3" customWidth="1"/>
    <col min="2353" max="2353" width="15.140625" style="3" customWidth="1"/>
    <col min="2354" max="2354" width="10.5703125" style="3" customWidth="1"/>
    <col min="2355" max="2355" width="11.140625" style="3" customWidth="1"/>
    <col min="2356" max="2356" width="25" style="3" customWidth="1"/>
    <col min="2357" max="2357" width="6" style="3" customWidth="1"/>
    <col min="2358" max="2561" width="9.140625" style="3"/>
    <col min="2562" max="2562" width="3.7109375" style="3" customWidth="1"/>
    <col min="2563" max="2563" width="2.28515625" style="3" customWidth="1"/>
    <col min="2564" max="2565" width="3.7109375" style="3" customWidth="1"/>
    <col min="2566" max="2566" width="2.28515625" style="3" customWidth="1"/>
    <col min="2567" max="2568" width="3.7109375" style="3" customWidth="1"/>
    <col min="2569" max="2569" width="2.28515625" style="3" customWidth="1"/>
    <col min="2570" max="2572" width="3.7109375" style="3" customWidth="1"/>
    <col min="2573" max="2573" width="2.28515625" style="3" customWidth="1"/>
    <col min="2574" max="2575" width="3.7109375" style="3" customWidth="1"/>
    <col min="2576" max="2576" width="2.28515625" style="3" customWidth="1"/>
    <col min="2577" max="2578" width="3.7109375" style="3" customWidth="1"/>
    <col min="2579" max="2579" width="2.28515625" style="3" customWidth="1"/>
    <col min="2580" max="2581" width="3.7109375" style="3" customWidth="1"/>
    <col min="2582" max="2582" width="2.28515625" style="3" customWidth="1"/>
    <col min="2583" max="2584" width="3.7109375" style="3" customWidth="1"/>
    <col min="2585" max="2585" width="2.28515625" style="3" customWidth="1"/>
    <col min="2586" max="2587" width="3.7109375" style="3" customWidth="1"/>
    <col min="2588" max="2588" width="2.28515625" style="3" customWidth="1"/>
    <col min="2589" max="2590" width="3.7109375" style="3" customWidth="1"/>
    <col min="2591" max="2591" width="2.28515625" style="3" customWidth="1"/>
    <col min="2592" max="2592" width="3.7109375" style="3" customWidth="1"/>
    <col min="2593" max="2593" width="9.7109375" style="3" customWidth="1"/>
    <col min="2594" max="2603" width="3.7109375" style="3" customWidth="1"/>
    <col min="2604" max="2604" width="11" style="3" customWidth="1"/>
    <col min="2605" max="2606" width="9.140625" style="3"/>
    <col min="2607" max="2607" width="24.42578125" style="3" customWidth="1"/>
    <col min="2608" max="2608" width="18.5703125" style="3" customWidth="1"/>
    <col min="2609" max="2609" width="15.140625" style="3" customWidth="1"/>
    <col min="2610" max="2610" width="10.5703125" style="3" customWidth="1"/>
    <col min="2611" max="2611" width="11.140625" style="3" customWidth="1"/>
    <col min="2612" max="2612" width="25" style="3" customWidth="1"/>
    <col min="2613" max="2613" width="6" style="3" customWidth="1"/>
    <col min="2614" max="2817" width="9.140625" style="3"/>
    <col min="2818" max="2818" width="3.7109375" style="3" customWidth="1"/>
    <col min="2819" max="2819" width="2.28515625" style="3" customWidth="1"/>
    <col min="2820" max="2821" width="3.7109375" style="3" customWidth="1"/>
    <col min="2822" max="2822" width="2.28515625" style="3" customWidth="1"/>
    <col min="2823" max="2824" width="3.7109375" style="3" customWidth="1"/>
    <col min="2825" max="2825" width="2.28515625" style="3" customWidth="1"/>
    <col min="2826" max="2828" width="3.7109375" style="3" customWidth="1"/>
    <col min="2829" max="2829" width="2.28515625" style="3" customWidth="1"/>
    <col min="2830" max="2831" width="3.7109375" style="3" customWidth="1"/>
    <col min="2832" max="2832" width="2.28515625" style="3" customWidth="1"/>
    <col min="2833" max="2834" width="3.7109375" style="3" customWidth="1"/>
    <col min="2835" max="2835" width="2.28515625" style="3" customWidth="1"/>
    <col min="2836" max="2837" width="3.7109375" style="3" customWidth="1"/>
    <col min="2838" max="2838" width="2.28515625" style="3" customWidth="1"/>
    <col min="2839" max="2840" width="3.7109375" style="3" customWidth="1"/>
    <col min="2841" max="2841" width="2.28515625" style="3" customWidth="1"/>
    <col min="2842" max="2843" width="3.7109375" style="3" customWidth="1"/>
    <col min="2844" max="2844" width="2.28515625" style="3" customWidth="1"/>
    <col min="2845" max="2846" width="3.7109375" style="3" customWidth="1"/>
    <col min="2847" max="2847" width="2.28515625" style="3" customWidth="1"/>
    <col min="2848" max="2848" width="3.7109375" style="3" customWidth="1"/>
    <col min="2849" max="2849" width="9.7109375" style="3" customWidth="1"/>
    <col min="2850" max="2859" width="3.7109375" style="3" customWidth="1"/>
    <col min="2860" max="2860" width="11" style="3" customWidth="1"/>
    <col min="2861" max="2862" width="9.140625" style="3"/>
    <col min="2863" max="2863" width="24.42578125" style="3" customWidth="1"/>
    <col min="2864" max="2864" width="18.5703125" style="3" customWidth="1"/>
    <col min="2865" max="2865" width="15.140625" style="3" customWidth="1"/>
    <col min="2866" max="2866" width="10.5703125" style="3" customWidth="1"/>
    <col min="2867" max="2867" width="11.140625" style="3" customWidth="1"/>
    <col min="2868" max="2868" width="25" style="3" customWidth="1"/>
    <col min="2869" max="2869" width="6" style="3" customWidth="1"/>
    <col min="2870" max="3073" width="9.140625" style="3"/>
    <col min="3074" max="3074" width="3.7109375" style="3" customWidth="1"/>
    <col min="3075" max="3075" width="2.28515625" style="3" customWidth="1"/>
    <col min="3076" max="3077" width="3.7109375" style="3" customWidth="1"/>
    <col min="3078" max="3078" width="2.28515625" style="3" customWidth="1"/>
    <col min="3079" max="3080" width="3.7109375" style="3" customWidth="1"/>
    <col min="3081" max="3081" width="2.28515625" style="3" customWidth="1"/>
    <col min="3082" max="3084" width="3.7109375" style="3" customWidth="1"/>
    <col min="3085" max="3085" width="2.28515625" style="3" customWidth="1"/>
    <col min="3086" max="3087" width="3.7109375" style="3" customWidth="1"/>
    <col min="3088" max="3088" width="2.28515625" style="3" customWidth="1"/>
    <col min="3089" max="3090" width="3.7109375" style="3" customWidth="1"/>
    <col min="3091" max="3091" width="2.28515625" style="3" customWidth="1"/>
    <col min="3092" max="3093" width="3.7109375" style="3" customWidth="1"/>
    <col min="3094" max="3094" width="2.28515625" style="3" customWidth="1"/>
    <col min="3095" max="3096" width="3.7109375" style="3" customWidth="1"/>
    <col min="3097" max="3097" width="2.28515625" style="3" customWidth="1"/>
    <col min="3098" max="3099" width="3.7109375" style="3" customWidth="1"/>
    <col min="3100" max="3100" width="2.28515625" style="3" customWidth="1"/>
    <col min="3101" max="3102" width="3.7109375" style="3" customWidth="1"/>
    <col min="3103" max="3103" width="2.28515625" style="3" customWidth="1"/>
    <col min="3104" max="3104" width="3.7109375" style="3" customWidth="1"/>
    <col min="3105" max="3105" width="9.7109375" style="3" customWidth="1"/>
    <col min="3106" max="3115" width="3.7109375" style="3" customWidth="1"/>
    <col min="3116" max="3116" width="11" style="3" customWidth="1"/>
    <col min="3117" max="3118" width="9.140625" style="3"/>
    <col min="3119" max="3119" width="24.42578125" style="3" customWidth="1"/>
    <col min="3120" max="3120" width="18.5703125" style="3" customWidth="1"/>
    <col min="3121" max="3121" width="15.140625" style="3" customWidth="1"/>
    <col min="3122" max="3122" width="10.5703125" style="3" customWidth="1"/>
    <col min="3123" max="3123" width="11.140625" style="3" customWidth="1"/>
    <col min="3124" max="3124" width="25" style="3" customWidth="1"/>
    <col min="3125" max="3125" width="6" style="3" customWidth="1"/>
    <col min="3126" max="3329" width="9.140625" style="3"/>
    <col min="3330" max="3330" width="3.7109375" style="3" customWidth="1"/>
    <col min="3331" max="3331" width="2.28515625" style="3" customWidth="1"/>
    <col min="3332" max="3333" width="3.7109375" style="3" customWidth="1"/>
    <col min="3334" max="3334" width="2.28515625" style="3" customWidth="1"/>
    <col min="3335" max="3336" width="3.7109375" style="3" customWidth="1"/>
    <col min="3337" max="3337" width="2.28515625" style="3" customWidth="1"/>
    <col min="3338" max="3340" width="3.7109375" style="3" customWidth="1"/>
    <col min="3341" max="3341" width="2.28515625" style="3" customWidth="1"/>
    <col min="3342" max="3343" width="3.7109375" style="3" customWidth="1"/>
    <col min="3344" max="3344" width="2.28515625" style="3" customWidth="1"/>
    <col min="3345" max="3346" width="3.7109375" style="3" customWidth="1"/>
    <col min="3347" max="3347" width="2.28515625" style="3" customWidth="1"/>
    <col min="3348" max="3349" width="3.7109375" style="3" customWidth="1"/>
    <col min="3350" max="3350" width="2.28515625" style="3" customWidth="1"/>
    <col min="3351" max="3352" width="3.7109375" style="3" customWidth="1"/>
    <col min="3353" max="3353" width="2.28515625" style="3" customWidth="1"/>
    <col min="3354" max="3355" width="3.7109375" style="3" customWidth="1"/>
    <col min="3356" max="3356" width="2.28515625" style="3" customWidth="1"/>
    <col min="3357" max="3358" width="3.7109375" style="3" customWidth="1"/>
    <col min="3359" max="3359" width="2.28515625" style="3" customWidth="1"/>
    <col min="3360" max="3360" width="3.7109375" style="3" customWidth="1"/>
    <col min="3361" max="3361" width="9.7109375" style="3" customWidth="1"/>
    <col min="3362" max="3371" width="3.7109375" style="3" customWidth="1"/>
    <col min="3372" max="3372" width="11" style="3" customWidth="1"/>
    <col min="3373" max="3374" width="9.140625" style="3"/>
    <col min="3375" max="3375" width="24.42578125" style="3" customWidth="1"/>
    <col min="3376" max="3376" width="18.5703125" style="3" customWidth="1"/>
    <col min="3377" max="3377" width="15.140625" style="3" customWidth="1"/>
    <col min="3378" max="3378" width="10.5703125" style="3" customWidth="1"/>
    <col min="3379" max="3379" width="11.140625" style="3" customWidth="1"/>
    <col min="3380" max="3380" width="25" style="3" customWidth="1"/>
    <col min="3381" max="3381" width="6" style="3" customWidth="1"/>
    <col min="3382" max="3585" width="9.140625" style="3"/>
    <col min="3586" max="3586" width="3.7109375" style="3" customWidth="1"/>
    <col min="3587" max="3587" width="2.28515625" style="3" customWidth="1"/>
    <col min="3588" max="3589" width="3.7109375" style="3" customWidth="1"/>
    <col min="3590" max="3590" width="2.28515625" style="3" customWidth="1"/>
    <col min="3591" max="3592" width="3.7109375" style="3" customWidth="1"/>
    <col min="3593" max="3593" width="2.28515625" style="3" customWidth="1"/>
    <col min="3594" max="3596" width="3.7109375" style="3" customWidth="1"/>
    <col min="3597" max="3597" width="2.28515625" style="3" customWidth="1"/>
    <col min="3598" max="3599" width="3.7109375" style="3" customWidth="1"/>
    <col min="3600" max="3600" width="2.28515625" style="3" customWidth="1"/>
    <col min="3601" max="3602" width="3.7109375" style="3" customWidth="1"/>
    <col min="3603" max="3603" width="2.28515625" style="3" customWidth="1"/>
    <col min="3604" max="3605" width="3.7109375" style="3" customWidth="1"/>
    <col min="3606" max="3606" width="2.28515625" style="3" customWidth="1"/>
    <col min="3607" max="3608" width="3.7109375" style="3" customWidth="1"/>
    <col min="3609" max="3609" width="2.28515625" style="3" customWidth="1"/>
    <col min="3610" max="3611" width="3.7109375" style="3" customWidth="1"/>
    <col min="3612" max="3612" width="2.28515625" style="3" customWidth="1"/>
    <col min="3613" max="3614" width="3.7109375" style="3" customWidth="1"/>
    <col min="3615" max="3615" width="2.28515625" style="3" customWidth="1"/>
    <col min="3616" max="3616" width="3.7109375" style="3" customWidth="1"/>
    <col min="3617" max="3617" width="9.7109375" style="3" customWidth="1"/>
    <col min="3618" max="3627" width="3.7109375" style="3" customWidth="1"/>
    <col min="3628" max="3628" width="11" style="3" customWidth="1"/>
    <col min="3629" max="3630" width="9.140625" style="3"/>
    <col min="3631" max="3631" width="24.42578125" style="3" customWidth="1"/>
    <col min="3632" max="3632" width="18.5703125" style="3" customWidth="1"/>
    <col min="3633" max="3633" width="15.140625" style="3" customWidth="1"/>
    <col min="3634" max="3634" width="10.5703125" style="3" customWidth="1"/>
    <col min="3635" max="3635" width="11.140625" style="3" customWidth="1"/>
    <col min="3636" max="3636" width="25" style="3" customWidth="1"/>
    <col min="3637" max="3637" width="6" style="3" customWidth="1"/>
    <col min="3638" max="3841" width="9.140625" style="3"/>
    <col min="3842" max="3842" width="3.7109375" style="3" customWidth="1"/>
    <col min="3843" max="3843" width="2.28515625" style="3" customWidth="1"/>
    <col min="3844" max="3845" width="3.7109375" style="3" customWidth="1"/>
    <col min="3846" max="3846" width="2.28515625" style="3" customWidth="1"/>
    <col min="3847" max="3848" width="3.7109375" style="3" customWidth="1"/>
    <col min="3849" max="3849" width="2.28515625" style="3" customWidth="1"/>
    <col min="3850" max="3852" width="3.7109375" style="3" customWidth="1"/>
    <col min="3853" max="3853" width="2.28515625" style="3" customWidth="1"/>
    <col min="3854" max="3855" width="3.7109375" style="3" customWidth="1"/>
    <col min="3856" max="3856" width="2.28515625" style="3" customWidth="1"/>
    <col min="3857" max="3858" width="3.7109375" style="3" customWidth="1"/>
    <col min="3859" max="3859" width="2.28515625" style="3" customWidth="1"/>
    <col min="3860" max="3861" width="3.7109375" style="3" customWidth="1"/>
    <col min="3862" max="3862" width="2.28515625" style="3" customWidth="1"/>
    <col min="3863" max="3864" width="3.7109375" style="3" customWidth="1"/>
    <col min="3865" max="3865" width="2.28515625" style="3" customWidth="1"/>
    <col min="3866" max="3867" width="3.7109375" style="3" customWidth="1"/>
    <col min="3868" max="3868" width="2.28515625" style="3" customWidth="1"/>
    <col min="3869" max="3870" width="3.7109375" style="3" customWidth="1"/>
    <col min="3871" max="3871" width="2.28515625" style="3" customWidth="1"/>
    <col min="3872" max="3872" width="3.7109375" style="3" customWidth="1"/>
    <col min="3873" max="3873" width="9.7109375" style="3" customWidth="1"/>
    <col min="3874" max="3883" width="3.7109375" style="3" customWidth="1"/>
    <col min="3884" max="3884" width="11" style="3" customWidth="1"/>
    <col min="3885" max="3886" width="9.140625" style="3"/>
    <col min="3887" max="3887" width="24.42578125" style="3" customWidth="1"/>
    <col min="3888" max="3888" width="18.5703125" style="3" customWidth="1"/>
    <col min="3889" max="3889" width="15.140625" style="3" customWidth="1"/>
    <col min="3890" max="3890" width="10.5703125" style="3" customWidth="1"/>
    <col min="3891" max="3891" width="11.140625" style="3" customWidth="1"/>
    <col min="3892" max="3892" width="25" style="3" customWidth="1"/>
    <col min="3893" max="3893" width="6" style="3" customWidth="1"/>
    <col min="3894" max="4097" width="9.140625" style="3"/>
    <col min="4098" max="4098" width="3.7109375" style="3" customWidth="1"/>
    <col min="4099" max="4099" width="2.28515625" style="3" customWidth="1"/>
    <col min="4100" max="4101" width="3.7109375" style="3" customWidth="1"/>
    <col min="4102" max="4102" width="2.28515625" style="3" customWidth="1"/>
    <col min="4103" max="4104" width="3.7109375" style="3" customWidth="1"/>
    <col min="4105" max="4105" width="2.28515625" style="3" customWidth="1"/>
    <col min="4106" max="4108" width="3.7109375" style="3" customWidth="1"/>
    <col min="4109" max="4109" width="2.28515625" style="3" customWidth="1"/>
    <col min="4110" max="4111" width="3.7109375" style="3" customWidth="1"/>
    <col min="4112" max="4112" width="2.28515625" style="3" customWidth="1"/>
    <col min="4113" max="4114" width="3.7109375" style="3" customWidth="1"/>
    <col min="4115" max="4115" width="2.28515625" style="3" customWidth="1"/>
    <col min="4116" max="4117" width="3.7109375" style="3" customWidth="1"/>
    <col min="4118" max="4118" width="2.28515625" style="3" customWidth="1"/>
    <col min="4119" max="4120" width="3.7109375" style="3" customWidth="1"/>
    <col min="4121" max="4121" width="2.28515625" style="3" customWidth="1"/>
    <col min="4122" max="4123" width="3.7109375" style="3" customWidth="1"/>
    <col min="4124" max="4124" width="2.28515625" style="3" customWidth="1"/>
    <col min="4125" max="4126" width="3.7109375" style="3" customWidth="1"/>
    <col min="4127" max="4127" width="2.28515625" style="3" customWidth="1"/>
    <col min="4128" max="4128" width="3.7109375" style="3" customWidth="1"/>
    <col min="4129" max="4129" width="9.7109375" style="3" customWidth="1"/>
    <col min="4130" max="4139" width="3.7109375" style="3" customWidth="1"/>
    <col min="4140" max="4140" width="11" style="3" customWidth="1"/>
    <col min="4141" max="4142" width="9.140625" style="3"/>
    <col min="4143" max="4143" width="24.42578125" style="3" customWidth="1"/>
    <col min="4144" max="4144" width="18.5703125" style="3" customWidth="1"/>
    <col min="4145" max="4145" width="15.140625" style="3" customWidth="1"/>
    <col min="4146" max="4146" width="10.5703125" style="3" customWidth="1"/>
    <col min="4147" max="4147" width="11.140625" style="3" customWidth="1"/>
    <col min="4148" max="4148" width="25" style="3" customWidth="1"/>
    <col min="4149" max="4149" width="6" style="3" customWidth="1"/>
    <col min="4150" max="4353" width="9.140625" style="3"/>
    <col min="4354" max="4354" width="3.7109375" style="3" customWidth="1"/>
    <col min="4355" max="4355" width="2.28515625" style="3" customWidth="1"/>
    <col min="4356" max="4357" width="3.7109375" style="3" customWidth="1"/>
    <col min="4358" max="4358" width="2.28515625" style="3" customWidth="1"/>
    <col min="4359" max="4360" width="3.7109375" style="3" customWidth="1"/>
    <col min="4361" max="4361" width="2.28515625" style="3" customWidth="1"/>
    <col min="4362" max="4364" width="3.7109375" style="3" customWidth="1"/>
    <col min="4365" max="4365" width="2.28515625" style="3" customWidth="1"/>
    <col min="4366" max="4367" width="3.7109375" style="3" customWidth="1"/>
    <col min="4368" max="4368" width="2.28515625" style="3" customWidth="1"/>
    <col min="4369" max="4370" width="3.7109375" style="3" customWidth="1"/>
    <col min="4371" max="4371" width="2.28515625" style="3" customWidth="1"/>
    <col min="4372" max="4373" width="3.7109375" style="3" customWidth="1"/>
    <col min="4374" max="4374" width="2.28515625" style="3" customWidth="1"/>
    <col min="4375" max="4376" width="3.7109375" style="3" customWidth="1"/>
    <col min="4377" max="4377" width="2.28515625" style="3" customWidth="1"/>
    <col min="4378" max="4379" width="3.7109375" style="3" customWidth="1"/>
    <col min="4380" max="4380" width="2.28515625" style="3" customWidth="1"/>
    <col min="4381" max="4382" width="3.7109375" style="3" customWidth="1"/>
    <col min="4383" max="4383" width="2.28515625" style="3" customWidth="1"/>
    <col min="4384" max="4384" width="3.7109375" style="3" customWidth="1"/>
    <col min="4385" max="4385" width="9.7109375" style="3" customWidth="1"/>
    <col min="4386" max="4395" width="3.7109375" style="3" customWidth="1"/>
    <col min="4396" max="4396" width="11" style="3" customWidth="1"/>
    <col min="4397" max="4398" width="9.140625" style="3"/>
    <col min="4399" max="4399" width="24.42578125" style="3" customWidth="1"/>
    <col min="4400" max="4400" width="18.5703125" style="3" customWidth="1"/>
    <col min="4401" max="4401" width="15.140625" style="3" customWidth="1"/>
    <col min="4402" max="4402" width="10.5703125" style="3" customWidth="1"/>
    <col min="4403" max="4403" width="11.140625" style="3" customWidth="1"/>
    <col min="4404" max="4404" width="25" style="3" customWidth="1"/>
    <col min="4405" max="4405" width="6" style="3" customWidth="1"/>
    <col min="4406" max="4609" width="9.140625" style="3"/>
    <col min="4610" max="4610" width="3.7109375" style="3" customWidth="1"/>
    <col min="4611" max="4611" width="2.28515625" style="3" customWidth="1"/>
    <col min="4612" max="4613" width="3.7109375" style="3" customWidth="1"/>
    <col min="4614" max="4614" width="2.28515625" style="3" customWidth="1"/>
    <col min="4615" max="4616" width="3.7109375" style="3" customWidth="1"/>
    <col min="4617" max="4617" width="2.28515625" style="3" customWidth="1"/>
    <col min="4618" max="4620" width="3.7109375" style="3" customWidth="1"/>
    <col min="4621" max="4621" width="2.28515625" style="3" customWidth="1"/>
    <col min="4622" max="4623" width="3.7109375" style="3" customWidth="1"/>
    <col min="4624" max="4624" width="2.28515625" style="3" customWidth="1"/>
    <col min="4625" max="4626" width="3.7109375" style="3" customWidth="1"/>
    <col min="4627" max="4627" width="2.28515625" style="3" customWidth="1"/>
    <col min="4628" max="4629" width="3.7109375" style="3" customWidth="1"/>
    <col min="4630" max="4630" width="2.28515625" style="3" customWidth="1"/>
    <col min="4631" max="4632" width="3.7109375" style="3" customWidth="1"/>
    <col min="4633" max="4633" width="2.28515625" style="3" customWidth="1"/>
    <col min="4634" max="4635" width="3.7109375" style="3" customWidth="1"/>
    <col min="4636" max="4636" width="2.28515625" style="3" customWidth="1"/>
    <col min="4637" max="4638" width="3.7109375" style="3" customWidth="1"/>
    <col min="4639" max="4639" width="2.28515625" style="3" customWidth="1"/>
    <col min="4640" max="4640" width="3.7109375" style="3" customWidth="1"/>
    <col min="4641" max="4641" width="9.7109375" style="3" customWidth="1"/>
    <col min="4642" max="4651" width="3.7109375" style="3" customWidth="1"/>
    <col min="4652" max="4652" width="11" style="3" customWidth="1"/>
    <col min="4653" max="4654" width="9.140625" style="3"/>
    <col min="4655" max="4655" width="24.42578125" style="3" customWidth="1"/>
    <col min="4656" max="4656" width="18.5703125" style="3" customWidth="1"/>
    <col min="4657" max="4657" width="15.140625" style="3" customWidth="1"/>
    <col min="4658" max="4658" width="10.5703125" style="3" customWidth="1"/>
    <col min="4659" max="4659" width="11.140625" style="3" customWidth="1"/>
    <col min="4660" max="4660" width="25" style="3" customWidth="1"/>
    <col min="4661" max="4661" width="6" style="3" customWidth="1"/>
    <col min="4662" max="4865" width="9.140625" style="3"/>
    <col min="4866" max="4866" width="3.7109375" style="3" customWidth="1"/>
    <col min="4867" max="4867" width="2.28515625" style="3" customWidth="1"/>
    <col min="4868" max="4869" width="3.7109375" style="3" customWidth="1"/>
    <col min="4870" max="4870" width="2.28515625" style="3" customWidth="1"/>
    <col min="4871" max="4872" width="3.7109375" style="3" customWidth="1"/>
    <col min="4873" max="4873" width="2.28515625" style="3" customWidth="1"/>
    <col min="4874" max="4876" width="3.7109375" style="3" customWidth="1"/>
    <col min="4877" max="4877" width="2.28515625" style="3" customWidth="1"/>
    <col min="4878" max="4879" width="3.7109375" style="3" customWidth="1"/>
    <col min="4880" max="4880" width="2.28515625" style="3" customWidth="1"/>
    <col min="4881" max="4882" width="3.7109375" style="3" customWidth="1"/>
    <col min="4883" max="4883" width="2.28515625" style="3" customWidth="1"/>
    <col min="4884" max="4885" width="3.7109375" style="3" customWidth="1"/>
    <col min="4886" max="4886" width="2.28515625" style="3" customWidth="1"/>
    <col min="4887" max="4888" width="3.7109375" style="3" customWidth="1"/>
    <col min="4889" max="4889" width="2.28515625" style="3" customWidth="1"/>
    <col min="4890" max="4891" width="3.7109375" style="3" customWidth="1"/>
    <col min="4892" max="4892" width="2.28515625" style="3" customWidth="1"/>
    <col min="4893" max="4894" width="3.7109375" style="3" customWidth="1"/>
    <col min="4895" max="4895" width="2.28515625" style="3" customWidth="1"/>
    <col min="4896" max="4896" width="3.7109375" style="3" customWidth="1"/>
    <col min="4897" max="4897" width="9.7109375" style="3" customWidth="1"/>
    <col min="4898" max="4907" width="3.7109375" style="3" customWidth="1"/>
    <col min="4908" max="4908" width="11" style="3" customWidth="1"/>
    <col min="4909" max="4910" width="9.140625" style="3"/>
    <col min="4911" max="4911" width="24.42578125" style="3" customWidth="1"/>
    <col min="4912" max="4912" width="18.5703125" style="3" customWidth="1"/>
    <col min="4913" max="4913" width="15.140625" style="3" customWidth="1"/>
    <col min="4914" max="4914" width="10.5703125" style="3" customWidth="1"/>
    <col min="4915" max="4915" width="11.140625" style="3" customWidth="1"/>
    <col min="4916" max="4916" width="25" style="3" customWidth="1"/>
    <col min="4917" max="4917" width="6" style="3" customWidth="1"/>
    <col min="4918" max="5121" width="9.140625" style="3"/>
    <col min="5122" max="5122" width="3.7109375" style="3" customWidth="1"/>
    <col min="5123" max="5123" width="2.28515625" style="3" customWidth="1"/>
    <col min="5124" max="5125" width="3.7109375" style="3" customWidth="1"/>
    <col min="5126" max="5126" width="2.28515625" style="3" customWidth="1"/>
    <col min="5127" max="5128" width="3.7109375" style="3" customWidth="1"/>
    <col min="5129" max="5129" width="2.28515625" style="3" customWidth="1"/>
    <col min="5130" max="5132" width="3.7109375" style="3" customWidth="1"/>
    <col min="5133" max="5133" width="2.28515625" style="3" customWidth="1"/>
    <col min="5134" max="5135" width="3.7109375" style="3" customWidth="1"/>
    <col min="5136" max="5136" width="2.28515625" style="3" customWidth="1"/>
    <col min="5137" max="5138" width="3.7109375" style="3" customWidth="1"/>
    <col min="5139" max="5139" width="2.28515625" style="3" customWidth="1"/>
    <col min="5140" max="5141" width="3.7109375" style="3" customWidth="1"/>
    <col min="5142" max="5142" width="2.28515625" style="3" customWidth="1"/>
    <col min="5143" max="5144" width="3.7109375" style="3" customWidth="1"/>
    <col min="5145" max="5145" width="2.28515625" style="3" customWidth="1"/>
    <col min="5146" max="5147" width="3.7109375" style="3" customWidth="1"/>
    <col min="5148" max="5148" width="2.28515625" style="3" customWidth="1"/>
    <col min="5149" max="5150" width="3.7109375" style="3" customWidth="1"/>
    <col min="5151" max="5151" width="2.28515625" style="3" customWidth="1"/>
    <col min="5152" max="5152" width="3.7109375" style="3" customWidth="1"/>
    <col min="5153" max="5153" width="9.7109375" style="3" customWidth="1"/>
    <col min="5154" max="5163" width="3.7109375" style="3" customWidth="1"/>
    <col min="5164" max="5164" width="11" style="3" customWidth="1"/>
    <col min="5165" max="5166" width="9.140625" style="3"/>
    <col min="5167" max="5167" width="24.42578125" style="3" customWidth="1"/>
    <col min="5168" max="5168" width="18.5703125" style="3" customWidth="1"/>
    <col min="5169" max="5169" width="15.140625" style="3" customWidth="1"/>
    <col min="5170" max="5170" width="10.5703125" style="3" customWidth="1"/>
    <col min="5171" max="5171" width="11.140625" style="3" customWidth="1"/>
    <col min="5172" max="5172" width="25" style="3" customWidth="1"/>
    <col min="5173" max="5173" width="6" style="3" customWidth="1"/>
    <col min="5174" max="5377" width="9.140625" style="3"/>
    <col min="5378" max="5378" width="3.7109375" style="3" customWidth="1"/>
    <col min="5379" max="5379" width="2.28515625" style="3" customWidth="1"/>
    <col min="5380" max="5381" width="3.7109375" style="3" customWidth="1"/>
    <col min="5382" max="5382" width="2.28515625" style="3" customWidth="1"/>
    <col min="5383" max="5384" width="3.7109375" style="3" customWidth="1"/>
    <col min="5385" max="5385" width="2.28515625" style="3" customWidth="1"/>
    <col min="5386" max="5388" width="3.7109375" style="3" customWidth="1"/>
    <col min="5389" max="5389" width="2.28515625" style="3" customWidth="1"/>
    <col min="5390" max="5391" width="3.7109375" style="3" customWidth="1"/>
    <col min="5392" max="5392" width="2.28515625" style="3" customWidth="1"/>
    <col min="5393" max="5394" width="3.7109375" style="3" customWidth="1"/>
    <col min="5395" max="5395" width="2.28515625" style="3" customWidth="1"/>
    <col min="5396" max="5397" width="3.7109375" style="3" customWidth="1"/>
    <col min="5398" max="5398" width="2.28515625" style="3" customWidth="1"/>
    <col min="5399" max="5400" width="3.7109375" style="3" customWidth="1"/>
    <col min="5401" max="5401" width="2.28515625" style="3" customWidth="1"/>
    <col min="5402" max="5403" width="3.7109375" style="3" customWidth="1"/>
    <col min="5404" max="5404" width="2.28515625" style="3" customWidth="1"/>
    <col min="5405" max="5406" width="3.7109375" style="3" customWidth="1"/>
    <col min="5407" max="5407" width="2.28515625" style="3" customWidth="1"/>
    <col min="5408" max="5408" width="3.7109375" style="3" customWidth="1"/>
    <col min="5409" max="5409" width="9.7109375" style="3" customWidth="1"/>
    <col min="5410" max="5419" width="3.7109375" style="3" customWidth="1"/>
    <col min="5420" max="5420" width="11" style="3" customWidth="1"/>
    <col min="5421" max="5422" width="9.140625" style="3"/>
    <col min="5423" max="5423" width="24.42578125" style="3" customWidth="1"/>
    <col min="5424" max="5424" width="18.5703125" style="3" customWidth="1"/>
    <col min="5425" max="5425" width="15.140625" style="3" customWidth="1"/>
    <col min="5426" max="5426" width="10.5703125" style="3" customWidth="1"/>
    <col min="5427" max="5427" width="11.140625" style="3" customWidth="1"/>
    <col min="5428" max="5428" width="25" style="3" customWidth="1"/>
    <col min="5429" max="5429" width="6" style="3" customWidth="1"/>
    <col min="5430" max="5633" width="9.140625" style="3"/>
    <col min="5634" max="5634" width="3.7109375" style="3" customWidth="1"/>
    <col min="5635" max="5635" width="2.28515625" style="3" customWidth="1"/>
    <col min="5636" max="5637" width="3.7109375" style="3" customWidth="1"/>
    <col min="5638" max="5638" width="2.28515625" style="3" customWidth="1"/>
    <col min="5639" max="5640" width="3.7109375" style="3" customWidth="1"/>
    <col min="5641" max="5641" width="2.28515625" style="3" customWidth="1"/>
    <col min="5642" max="5644" width="3.7109375" style="3" customWidth="1"/>
    <col min="5645" max="5645" width="2.28515625" style="3" customWidth="1"/>
    <col min="5646" max="5647" width="3.7109375" style="3" customWidth="1"/>
    <col min="5648" max="5648" width="2.28515625" style="3" customWidth="1"/>
    <col min="5649" max="5650" width="3.7109375" style="3" customWidth="1"/>
    <col min="5651" max="5651" width="2.28515625" style="3" customWidth="1"/>
    <col min="5652" max="5653" width="3.7109375" style="3" customWidth="1"/>
    <col min="5654" max="5654" width="2.28515625" style="3" customWidth="1"/>
    <col min="5655" max="5656" width="3.7109375" style="3" customWidth="1"/>
    <col min="5657" max="5657" width="2.28515625" style="3" customWidth="1"/>
    <col min="5658" max="5659" width="3.7109375" style="3" customWidth="1"/>
    <col min="5660" max="5660" width="2.28515625" style="3" customWidth="1"/>
    <col min="5661" max="5662" width="3.7109375" style="3" customWidth="1"/>
    <col min="5663" max="5663" width="2.28515625" style="3" customWidth="1"/>
    <col min="5664" max="5664" width="3.7109375" style="3" customWidth="1"/>
    <col min="5665" max="5665" width="9.7109375" style="3" customWidth="1"/>
    <col min="5666" max="5675" width="3.7109375" style="3" customWidth="1"/>
    <col min="5676" max="5676" width="11" style="3" customWidth="1"/>
    <col min="5677" max="5678" width="9.140625" style="3"/>
    <col min="5679" max="5679" width="24.42578125" style="3" customWidth="1"/>
    <col min="5680" max="5680" width="18.5703125" style="3" customWidth="1"/>
    <col min="5681" max="5681" width="15.140625" style="3" customWidth="1"/>
    <col min="5682" max="5682" width="10.5703125" style="3" customWidth="1"/>
    <col min="5683" max="5683" width="11.140625" style="3" customWidth="1"/>
    <col min="5684" max="5684" width="25" style="3" customWidth="1"/>
    <col min="5685" max="5685" width="6" style="3" customWidth="1"/>
    <col min="5686" max="5889" width="9.140625" style="3"/>
    <col min="5890" max="5890" width="3.7109375" style="3" customWidth="1"/>
    <col min="5891" max="5891" width="2.28515625" style="3" customWidth="1"/>
    <col min="5892" max="5893" width="3.7109375" style="3" customWidth="1"/>
    <col min="5894" max="5894" width="2.28515625" style="3" customWidth="1"/>
    <col min="5895" max="5896" width="3.7109375" style="3" customWidth="1"/>
    <col min="5897" max="5897" width="2.28515625" style="3" customWidth="1"/>
    <col min="5898" max="5900" width="3.7109375" style="3" customWidth="1"/>
    <col min="5901" max="5901" width="2.28515625" style="3" customWidth="1"/>
    <col min="5902" max="5903" width="3.7109375" style="3" customWidth="1"/>
    <col min="5904" max="5904" width="2.28515625" style="3" customWidth="1"/>
    <col min="5905" max="5906" width="3.7109375" style="3" customWidth="1"/>
    <col min="5907" max="5907" width="2.28515625" style="3" customWidth="1"/>
    <col min="5908" max="5909" width="3.7109375" style="3" customWidth="1"/>
    <col min="5910" max="5910" width="2.28515625" style="3" customWidth="1"/>
    <col min="5911" max="5912" width="3.7109375" style="3" customWidth="1"/>
    <col min="5913" max="5913" width="2.28515625" style="3" customWidth="1"/>
    <col min="5914" max="5915" width="3.7109375" style="3" customWidth="1"/>
    <col min="5916" max="5916" width="2.28515625" style="3" customWidth="1"/>
    <col min="5917" max="5918" width="3.7109375" style="3" customWidth="1"/>
    <col min="5919" max="5919" width="2.28515625" style="3" customWidth="1"/>
    <col min="5920" max="5920" width="3.7109375" style="3" customWidth="1"/>
    <col min="5921" max="5921" width="9.7109375" style="3" customWidth="1"/>
    <col min="5922" max="5931" width="3.7109375" style="3" customWidth="1"/>
    <col min="5932" max="5932" width="11" style="3" customWidth="1"/>
    <col min="5933" max="5934" width="9.140625" style="3"/>
    <col min="5935" max="5935" width="24.42578125" style="3" customWidth="1"/>
    <col min="5936" max="5936" width="18.5703125" style="3" customWidth="1"/>
    <col min="5937" max="5937" width="15.140625" style="3" customWidth="1"/>
    <col min="5938" max="5938" width="10.5703125" style="3" customWidth="1"/>
    <col min="5939" max="5939" width="11.140625" style="3" customWidth="1"/>
    <col min="5940" max="5940" width="25" style="3" customWidth="1"/>
    <col min="5941" max="5941" width="6" style="3" customWidth="1"/>
    <col min="5942" max="6145" width="9.140625" style="3"/>
    <col min="6146" max="6146" width="3.7109375" style="3" customWidth="1"/>
    <col min="6147" max="6147" width="2.28515625" style="3" customWidth="1"/>
    <col min="6148" max="6149" width="3.7109375" style="3" customWidth="1"/>
    <col min="6150" max="6150" width="2.28515625" style="3" customWidth="1"/>
    <col min="6151" max="6152" width="3.7109375" style="3" customWidth="1"/>
    <col min="6153" max="6153" width="2.28515625" style="3" customWidth="1"/>
    <col min="6154" max="6156" width="3.7109375" style="3" customWidth="1"/>
    <col min="6157" max="6157" width="2.28515625" style="3" customWidth="1"/>
    <col min="6158" max="6159" width="3.7109375" style="3" customWidth="1"/>
    <col min="6160" max="6160" width="2.28515625" style="3" customWidth="1"/>
    <col min="6161" max="6162" width="3.7109375" style="3" customWidth="1"/>
    <col min="6163" max="6163" width="2.28515625" style="3" customWidth="1"/>
    <col min="6164" max="6165" width="3.7109375" style="3" customWidth="1"/>
    <col min="6166" max="6166" width="2.28515625" style="3" customWidth="1"/>
    <col min="6167" max="6168" width="3.7109375" style="3" customWidth="1"/>
    <col min="6169" max="6169" width="2.28515625" style="3" customWidth="1"/>
    <col min="6170" max="6171" width="3.7109375" style="3" customWidth="1"/>
    <col min="6172" max="6172" width="2.28515625" style="3" customWidth="1"/>
    <col min="6173" max="6174" width="3.7109375" style="3" customWidth="1"/>
    <col min="6175" max="6175" width="2.28515625" style="3" customWidth="1"/>
    <col min="6176" max="6176" width="3.7109375" style="3" customWidth="1"/>
    <col min="6177" max="6177" width="9.7109375" style="3" customWidth="1"/>
    <col min="6178" max="6187" width="3.7109375" style="3" customWidth="1"/>
    <col min="6188" max="6188" width="11" style="3" customWidth="1"/>
    <col min="6189" max="6190" width="9.140625" style="3"/>
    <col min="6191" max="6191" width="24.42578125" style="3" customWidth="1"/>
    <col min="6192" max="6192" width="18.5703125" style="3" customWidth="1"/>
    <col min="6193" max="6193" width="15.140625" style="3" customWidth="1"/>
    <col min="6194" max="6194" width="10.5703125" style="3" customWidth="1"/>
    <col min="6195" max="6195" width="11.140625" style="3" customWidth="1"/>
    <col min="6196" max="6196" width="25" style="3" customWidth="1"/>
    <col min="6197" max="6197" width="6" style="3" customWidth="1"/>
    <col min="6198" max="6401" width="9.140625" style="3"/>
    <col min="6402" max="6402" width="3.7109375" style="3" customWidth="1"/>
    <col min="6403" max="6403" width="2.28515625" style="3" customWidth="1"/>
    <col min="6404" max="6405" width="3.7109375" style="3" customWidth="1"/>
    <col min="6406" max="6406" width="2.28515625" style="3" customWidth="1"/>
    <col min="6407" max="6408" width="3.7109375" style="3" customWidth="1"/>
    <col min="6409" max="6409" width="2.28515625" style="3" customWidth="1"/>
    <col min="6410" max="6412" width="3.7109375" style="3" customWidth="1"/>
    <col min="6413" max="6413" width="2.28515625" style="3" customWidth="1"/>
    <col min="6414" max="6415" width="3.7109375" style="3" customWidth="1"/>
    <col min="6416" max="6416" width="2.28515625" style="3" customWidth="1"/>
    <col min="6417" max="6418" width="3.7109375" style="3" customWidth="1"/>
    <col min="6419" max="6419" width="2.28515625" style="3" customWidth="1"/>
    <col min="6420" max="6421" width="3.7109375" style="3" customWidth="1"/>
    <col min="6422" max="6422" width="2.28515625" style="3" customWidth="1"/>
    <col min="6423" max="6424" width="3.7109375" style="3" customWidth="1"/>
    <col min="6425" max="6425" width="2.28515625" style="3" customWidth="1"/>
    <col min="6426" max="6427" width="3.7109375" style="3" customWidth="1"/>
    <col min="6428" max="6428" width="2.28515625" style="3" customWidth="1"/>
    <col min="6429" max="6430" width="3.7109375" style="3" customWidth="1"/>
    <col min="6431" max="6431" width="2.28515625" style="3" customWidth="1"/>
    <col min="6432" max="6432" width="3.7109375" style="3" customWidth="1"/>
    <col min="6433" max="6433" width="9.7109375" style="3" customWidth="1"/>
    <col min="6434" max="6443" width="3.7109375" style="3" customWidth="1"/>
    <col min="6444" max="6444" width="11" style="3" customWidth="1"/>
    <col min="6445" max="6446" width="9.140625" style="3"/>
    <col min="6447" max="6447" width="24.42578125" style="3" customWidth="1"/>
    <col min="6448" max="6448" width="18.5703125" style="3" customWidth="1"/>
    <col min="6449" max="6449" width="15.140625" style="3" customWidth="1"/>
    <col min="6450" max="6450" width="10.5703125" style="3" customWidth="1"/>
    <col min="6451" max="6451" width="11.140625" style="3" customWidth="1"/>
    <col min="6452" max="6452" width="25" style="3" customWidth="1"/>
    <col min="6453" max="6453" width="6" style="3" customWidth="1"/>
    <col min="6454" max="6657" width="9.140625" style="3"/>
    <col min="6658" max="6658" width="3.7109375" style="3" customWidth="1"/>
    <col min="6659" max="6659" width="2.28515625" style="3" customWidth="1"/>
    <col min="6660" max="6661" width="3.7109375" style="3" customWidth="1"/>
    <col min="6662" max="6662" width="2.28515625" style="3" customWidth="1"/>
    <col min="6663" max="6664" width="3.7109375" style="3" customWidth="1"/>
    <col min="6665" max="6665" width="2.28515625" style="3" customWidth="1"/>
    <col min="6666" max="6668" width="3.7109375" style="3" customWidth="1"/>
    <col min="6669" max="6669" width="2.28515625" style="3" customWidth="1"/>
    <col min="6670" max="6671" width="3.7109375" style="3" customWidth="1"/>
    <col min="6672" max="6672" width="2.28515625" style="3" customWidth="1"/>
    <col min="6673" max="6674" width="3.7109375" style="3" customWidth="1"/>
    <col min="6675" max="6675" width="2.28515625" style="3" customWidth="1"/>
    <col min="6676" max="6677" width="3.7109375" style="3" customWidth="1"/>
    <col min="6678" max="6678" width="2.28515625" style="3" customWidth="1"/>
    <col min="6679" max="6680" width="3.7109375" style="3" customWidth="1"/>
    <col min="6681" max="6681" width="2.28515625" style="3" customWidth="1"/>
    <col min="6682" max="6683" width="3.7109375" style="3" customWidth="1"/>
    <col min="6684" max="6684" width="2.28515625" style="3" customWidth="1"/>
    <col min="6685" max="6686" width="3.7109375" style="3" customWidth="1"/>
    <col min="6687" max="6687" width="2.28515625" style="3" customWidth="1"/>
    <col min="6688" max="6688" width="3.7109375" style="3" customWidth="1"/>
    <col min="6689" max="6689" width="9.7109375" style="3" customWidth="1"/>
    <col min="6690" max="6699" width="3.7109375" style="3" customWidth="1"/>
    <col min="6700" max="6700" width="11" style="3" customWidth="1"/>
    <col min="6701" max="6702" width="9.140625" style="3"/>
    <col min="6703" max="6703" width="24.42578125" style="3" customWidth="1"/>
    <col min="6704" max="6704" width="18.5703125" style="3" customWidth="1"/>
    <col min="6705" max="6705" width="15.140625" style="3" customWidth="1"/>
    <col min="6706" max="6706" width="10.5703125" style="3" customWidth="1"/>
    <col min="6707" max="6707" width="11.140625" style="3" customWidth="1"/>
    <col min="6708" max="6708" width="25" style="3" customWidth="1"/>
    <col min="6709" max="6709" width="6" style="3" customWidth="1"/>
    <col min="6710" max="6913" width="9.140625" style="3"/>
    <col min="6914" max="6914" width="3.7109375" style="3" customWidth="1"/>
    <col min="6915" max="6915" width="2.28515625" style="3" customWidth="1"/>
    <col min="6916" max="6917" width="3.7109375" style="3" customWidth="1"/>
    <col min="6918" max="6918" width="2.28515625" style="3" customWidth="1"/>
    <col min="6919" max="6920" width="3.7109375" style="3" customWidth="1"/>
    <col min="6921" max="6921" width="2.28515625" style="3" customWidth="1"/>
    <col min="6922" max="6924" width="3.7109375" style="3" customWidth="1"/>
    <col min="6925" max="6925" width="2.28515625" style="3" customWidth="1"/>
    <col min="6926" max="6927" width="3.7109375" style="3" customWidth="1"/>
    <col min="6928" max="6928" width="2.28515625" style="3" customWidth="1"/>
    <col min="6929" max="6930" width="3.7109375" style="3" customWidth="1"/>
    <col min="6931" max="6931" width="2.28515625" style="3" customWidth="1"/>
    <col min="6932" max="6933" width="3.7109375" style="3" customWidth="1"/>
    <col min="6934" max="6934" width="2.28515625" style="3" customWidth="1"/>
    <col min="6935" max="6936" width="3.7109375" style="3" customWidth="1"/>
    <col min="6937" max="6937" width="2.28515625" style="3" customWidth="1"/>
    <col min="6938" max="6939" width="3.7109375" style="3" customWidth="1"/>
    <col min="6940" max="6940" width="2.28515625" style="3" customWidth="1"/>
    <col min="6941" max="6942" width="3.7109375" style="3" customWidth="1"/>
    <col min="6943" max="6943" width="2.28515625" style="3" customWidth="1"/>
    <col min="6944" max="6944" width="3.7109375" style="3" customWidth="1"/>
    <col min="6945" max="6945" width="9.7109375" style="3" customWidth="1"/>
    <col min="6946" max="6955" width="3.7109375" style="3" customWidth="1"/>
    <col min="6956" max="6956" width="11" style="3" customWidth="1"/>
    <col min="6957" max="6958" width="9.140625" style="3"/>
    <col min="6959" max="6959" width="24.42578125" style="3" customWidth="1"/>
    <col min="6960" max="6960" width="18.5703125" style="3" customWidth="1"/>
    <col min="6961" max="6961" width="15.140625" style="3" customWidth="1"/>
    <col min="6962" max="6962" width="10.5703125" style="3" customWidth="1"/>
    <col min="6963" max="6963" width="11.140625" style="3" customWidth="1"/>
    <col min="6964" max="6964" width="25" style="3" customWidth="1"/>
    <col min="6965" max="6965" width="6" style="3" customWidth="1"/>
    <col min="6966" max="7169" width="9.140625" style="3"/>
    <col min="7170" max="7170" width="3.7109375" style="3" customWidth="1"/>
    <col min="7171" max="7171" width="2.28515625" style="3" customWidth="1"/>
    <col min="7172" max="7173" width="3.7109375" style="3" customWidth="1"/>
    <col min="7174" max="7174" width="2.28515625" style="3" customWidth="1"/>
    <col min="7175" max="7176" width="3.7109375" style="3" customWidth="1"/>
    <col min="7177" max="7177" width="2.28515625" style="3" customWidth="1"/>
    <col min="7178" max="7180" width="3.7109375" style="3" customWidth="1"/>
    <col min="7181" max="7181" width="2.28515625" style="3" customWidth="1"/>
    <col min="7182" max="7183" width="3.7109375" style="3" customWidth="1"/>
    <col min="7184" max="7184" width="2.28515625" style="3" customWidth="1"/>
    <col min="7185" max="7186" width="3.7109375" style="3" customWidth="1"/>
    <col min="7187" max="7187" width="2.28515625" style="3" customWidth="1"/>
    <col min="7188" max="7189" width="3.7109375" style="3" customWidth="1"/>
    <col min="7190" max="7190" width="2.28515625" style="3" customWidth="1"/>
    <col min="7191" max="7192" width="3.7109375" style="3" customWidth="1"/>
    <col min="7193" max="7193" width="2.28515625" style="3" customWidth="1"/>
    <col min="7194" max="7195" width="3.7109375" style="3" customWidth="1"/>
    <col min="7196" max="7196" width="2.28515625" style="3" customWidth="1"/>
    <col min="7197" max="7198" width="3.7109375" style="3" customWidth="1"/>
    <col min="7199" max="7199" width="2.28515625" style="3" customWidth="1"/>
    <col min="7200" max="7200" width="3.7109375" style="3" customWidth="1"/>
    <col min="7201" max="7201" width="9.7109375" style="3" customWidth="1"/>
    <col min="7202" max="7211" width="3.7109375" style="3" customWidth="1"/>
    <col min="7212" max="7212" width="11" style="3" customWidth="1"/>
    <col min="7213" max="7214" width="9.140625" style="3"/>
    <col min="7215" max="7215" width="24.42578125" style="3" customWidth="1"/>
    <col min="7216" max="7216" width="18.5703125" style="3" customWidth="1"/>
    <col min="7217" max="7217" width="15.140625" style="3" customWidth="1"/>
    <col min="7218" max="7218" width="10.5703125" style="3" customWidth="1"/>
    <col min="7219" max="7219" width="11.140625" style="3" customWidth="1"/>
    <col min="7220" max="7220" width="25" style="3" customWidth="1"/>
    <col min="7221" max="7221" width="6" style="3" customWidth="1"/>
    <col min="7222" max="7425" width="9.140625" style="3"/>
    <col min="7426" max="7426" width="3.7109375" style="3" customWidth="1"/>
    <col min="7427" max="7427" width="2.28515625" style="3" customWidth="1"/>
    <col min="7428" max="7429" width="3.7109375" style="3" customWidth="1"/>
    <col min="7430" max="7430" width="2.28515625" style="3" customWidth="1"/>
    <col min="7431" max="7432" width="3.7109375" style="3" customWidth="1"/>
    <col min="7433" max="7433" width="2.28515625" style="3" customWidth="1"/>
    <col min="7434" max="7436" width="3.7109375" style="3" customWidth="1"/>
    <col min="7437" max="7437" width="2.28515625" style="3" customWidth="1"/>
    <col min="7438" max="7439" width="3.7109375" style="3" customWidth="1"/>
    <col min="7440" max="7440" width="2.28515625" style="3" customWidth="1"/>
    <col min="7441" max="7442" width="3.7109375" style="3" customWidth="1"/>
    <col min="7443" max="7443" width="2.28515625" style="3" customWidth="1"/>
    <col min="7444" max="7445" width="3.7109375" style="3" customWidth="1"/>
    <col min="7446" max="7446" width="2.28515625" style="3" customWidth="1"/>
    <col min="7447" max="7448" width="3.7109375" style="3" customWidth="1"/>
    <col min="7449" max="7449" width="2.28515625" style="3" customWidth="1"/>
    <col min="7450" max="7451" width="3.7109375" style="3" customWidth="1"/>
    <col min="7452" max="7452" width="2.28515625" style="3" customWidth="1"/>
    <col min="7453" max="7454" width="3.7109375" style="3" customWidth="1"/>
    <col min="7455" max="7455" width="2.28515625" style="3" customWidth="1"/>
    <col min="7456" max="7456" width="3.7109375" style="3" customWidth="1"/>
    <col min="7457" max="7457" width="9.7109375" style="3" customWidth="1"/>
    <col min="7458" max="7467" width="3.7109375" style="3" customWidth="1"/>
    <col min="7468" max="7468" width="11" style="3" customWidth="1"/>
    <col min="7469" max="7470" width="9.140625" style="3"/>
    <col min="7471" max="7471" width="24.42578125" style="3" customWidth="1"/>
    <col min="7472" max="7472" width="18.5703125" style="3" customWidth="1"/>
    <col min="7473" max="7473" width="15.140625" style="3" customWidth="1"/>
    <col min="7474" max="7474" width="10.5703125" style="3" customWidth="1"/>
    <col min="7475" max="7475" width="11.140625" style="3" customWidth="1"/>
    <col min="7476" max="7476" width="25" style="3" customWidth="1"/>
    <col min="7477" max="7477" width="6" style="3" customWidth="1"/>
    <col min="7478" max="7681" width="9.140625" style="3"/>
    <col min="7682" max="7682" width="3.7109375" style="3" customWidth="1"/>
    <col min="7683" max="7683" width="2.28515625" style="3" customWidth="1"/>
    <col min="7684" max="7685" width="3.7109375" style="3" customWidth="1"/>
    <col min="7686" max="7686" width="2.28515625" style="3" customWidth="1"/>
    <col min="7687" max="7688" width="3.7109375" style="3" customWidth="1"/>
    <col min="7689" max="7689" width="2.28515625" style="3" customWidth="1"/>
    <col min="7690" max="7692" width="3.7109375" style="3" customWidth="1"/>
    <col min="7693" max="7693" width="2.28515625" style="3" customWidth="1"/>
    <col min="7694" max="7695" width="3.7109375" style="3" customWidth="1"/>
    <col min="7696" max="7696" width="2.28515625" style="3" customWidth="1"/>
    <col min="7697" max="7698" width="3.7109375" style="3" customWidth="1"/>
    <col min="7699" max="7699" width="2.28515625" style="3" customWidth="1"/>
    <col min="7700" max="7701" width="3.7109375" style="3" customWidth="1"/>
    <col min="7702" max="7702" width="2.28515625" style="3" customWidth="1"/>
    <col min="7703" max="7704" width="3.7109375" style="3" customWidth="1"/>
    <col min="7705" max="7705" width="2.28515625" style="3" customWidth="1"/>
    <col min="7706" max="7707" width="3.7109375" style="3" customWidth="1"/>
    <col min="7708" max="7708" width="2.28515625" style="3" customWidth="1"/>
    <col min="7709" max="7710" width="3.7109375" style="3" customWidth="1"/>
    <col min="7711" max="7711" width="2.28515625" style="3" customWidth="1"/>
    <col min="7712" max="7712" width="3.7109375" style="3" customWidth="1"/>
    <col min="7713" max="7713" width="9.7109375" style="3" customWidth="1"/>
    <col min="7714" max="7723" width="3.7109375" style="3" customWidth="1"/>
    <col min="7724" max="7724" width="11" style="3" customWidth="1"/>
    <col min="7725" max="7726" width="9.140625" style="3"/>
    <col min="7727" max="7727" width="24.42578125" style="3" customWidth="1"/>
    <col min="7728" max="7728" width="18.5703125" style="3" customWidth="1"/>
    <col min="7729" max="7729" width="15.140625" style="3" customWidth="1"/>
    <col min="7730" max="7730" width="10.5703125" style="3" customWidth="1"/>
    <col min="7731" max="7731" width="11.140625" style="3" customWidth="1"/>
    <col min="7732" max="7732" width="25" style="3" customWidth="1"/>
    <col min="7733" max="7733" width="6" style="3" customWidth="1"/>
    <col min="7734" max="7937" width="9.140625" style="3"/>
    <col min="7938" max="7938" width="3.7109375" style="3" customWidth="1"/>
    <col min="7939" max="7939" width="2.28515625" style="3" customWidth="1"/>
    <col min="7940" max="7941" width="3.7109375" style="3" customWidth="1"/>
    <col min="7942" max="7942" width="2.28515625" style="3" customWidth="1"/>
    <col min="7943" max="7944" width="3.7109375" style="3" customWidth="1"/>
    <col min="7945" max="7945" width="2.28515625" style="3" customWidth="1"/>
    <col min="7946" max="7948" width="3.7109375" style="3" customWidth="1"/>
    <col min="7949" max="7949" width="2.28515625" style="3" customWidth="1"/>
    <col min="7950" max="7951" width="3.7109375" style="3" customWidth="1"/>
    <col min="7952" max="7952" width="2.28515625" style="3" customWidth="1"/>
    <col min="7953" max="7954" width="3.7109375" style="3" customWidth="1"/>
    <col min="7955" max="7955" width="2.28515625" style="3" customWidth="1"/>
    <col min="7956" max="7957" width="3.7109375" style="3" customWidth="1"/>
    <col min="7958" max="7958" width="2.28515625" style="3" customWidth="1"/>
    <col min="7959" max="7960" width="3.7109375" style="3" customWidth="1"/>
    <col min="7961" max="7961" width="2.28515625" style="3" customWidth="1"/>
    <col min="7962" max="7963" width="3.7109375" style="3" customWidth="1"/>
    <col min="7964" max="7964" width="2.28515625" style="3" customWidth="1"/>
    <col min="7965" max="7966" width="3.7109375" style="3" customWidth="1"/>
    <col min="7967" max="7967" width="2.28515625" style="3" customWidth="1"/>
    <col min="7968" max="7968" width="3.7109375" style="3" customWidth="1"/>
    <col min="7969" max="7969" width="9.7109375" style="3" customWidth="1"/>
    <col min="7970" max="7979" width="3.7109375" style="3" customWidth="1"/>
    <col min="7980" max="7980" width="11" style="3" customWidth="1"/>
    <col min="7981" max="7982" width="9.140625" style="3"/>
    <col min="7983" max="7983" width="24.42578125" style="3" customWidth="1"/>
    <col min="7984" max="7984" width="18.5703125" style="3" customWidth="1"/>
    <col min="7985" max="7985" width="15.140625" style="3" customWidth="1"/>
    <col min="7986" max="7986" width="10.5703125" style="3" customWidth="1"/>
    <col min="7987" max="7987" width="11.140625" style="3" customWidth="1"/>
    <col min="7988" max="7988" width="25" style="3" customWidth="1"/>
    <col min="7989" max="7989" width="6" style="3" customWidth="1"/>
    <col min="7990" max="8193" width="9.140625" style="3"/>
    <col min="8194" max="8194" width="3.7109375" style="3" customWidth="1"/>
    <col min="8195" max="8195" width="2.28515625" style="3" customWidth="1"/>
    <col min="8196" max="8197" width="3.7109375" style="3" customWidth="1"/>
    <col min="8198" max="8198" width="2.28515625" style="3" customWidth="1"/>
    <col min="8199" max="8200" width="3.7109375" style="3" customWidth="1"/>
    <col min="8201" max="8201" width="2.28515625" style="3" customWidth="1"/>
    <col min="8202" max="8204" width="3.7109375" style="3" customWidth="1"/>
    <col min="8205" max="8205" width="2.28515625" style="3" customWidth="1"/>
    <col min="8206" max="8207" width="3.7109375" style="3" customWidth="1"/>
    <col min="8208" max="8208" width="2.28515625" style="3" customWidth="1"/>
    <col min="8209" max="8210" width="3.7109375" style="3" customWidth="1"/>
    <col min="8211" max="8211" width="2.28515625" style="3" customWidth="1"/>
    <col min="8212" max="8213" width="3.7109375" style="3" customWidth="1"/>
    <col min="8214" max="8214" width="2.28515625" style="3" customWidth="1"/>
    <col min="8215" max="8216" width="3.7109375" style="3" customWidth="1"/>
    <col min="8217" max="8217" width="2.28515625" style="3" customWidth="1"/>
    <col min="8218" max="8219" width="3.7109375" style="3" customWidth="1"/>
    <col min="8220" max="8220" width="2.28515625" style="3" customWidth="1"/>
    <col min="8221" max="8222" width="3.7109375" style="3" customWidth="1"/>
    <col min="8223" max="8223" width="2.28515625" style="3" customWidth="1"/>
    <col min="8224" max="8224" width="3.7109375" style="3" customWidth="1"/>
    <col min="8225" max="8225" width="9.7109375" style="3" customWidth="1"/>
    <col min="8226" max="8235" width="3.7109375" style="3" customWidth="1"/>
    <col min="8236" max="8236" width="11" style="3" customWidth="1"/>
    <col min="8237" max="8238" width="9.140625" style="3"/>
    <col min="8239" max="8239" width="24.42578125" style="3" customWidth="1"/>
    <col min="8240" max="8240" width="18.5703125" style="3" customWidth="1"/>
    <col min="8241" max="8241" width="15.140625" style="3" customWidth="1"/>
    <col min="8242" max="8242" width="10.5703125" style="3" customWidth="1"/>
    <col min="8243" max="8243" width="11.140625" style="3" customWidth="1"/>
    <col min="8244" max="8244" width="25" style="3" customWidth="1"/>
    <col min="8245" max="8245" width="6" style="3" customWidth="1"/>
    <col min="8246" max="8449" width="9.140625" style="3"/>
    <col min="8450" max="8450" width="3.7109375" style="3" customWidth="1"/>
    <col min="8451" max="8451" width="2.28515625" style="3" customWidth="1"/>
    <col min="8452" max="8453" width="3.7109375" style="3" customWidth="1"/>
    <col min="8454" max="8454" width="2.28515625" style="3" customWidth="1"/>
    <col min="8455" max="8456" width="3.7109375" style="3" customWidth="1"/>
    <col min="8457" max="8457" width="2.28515625" style="3" customWidth="1"/>
    <col min="8458" max="8460" width="3.7109375" style="3" customWidth="1"/>
    <col min="8461" max="8461" width="2.28515625" style="3" customWidth="1"/>
    <col min="8462" max="8463" width="3.7109375" style="3" customWidth="1"/>
    <col min="8464" max="8464" width="2.28515625" style="3" customWidth="1"/>
    <col min="8465" max="8466" width="3.7109375" style="3" customWidth="1"/>
    <col min="8467" max="8467" width="2.28515625" style="3" customWidth="1"/>
    <col min="8468" max="8469" width="3.7109375" style="3" customWidth="1"/>
    <col min="8470" max="8470" width="2.28515625" style="3" customWidth="1"/>
    <col min="8471" max="8472" width="3.7109375" style="3" customWidth="1"/>
    <col min="8473" max="8473" width="2.28515625" style="3" customWidth="1"/>
    <col min="8474" max="8475" width="3.7109375" style="3" customWidth="1"/>
    <col min="8476" max="8476" width="2.28515625" style="3" customWidth="1"/>
    <col min="8477" max="8478" width="3.7109375" style="3" customWidth="1"/>
    <col min="8479" max="8479" width="2.28515625" style="3" customWidth="1"/>
    <col min="8480" max="8480" width="3.7109375" style="3" customWidth="1"/>
    <col min="8481" max="8481" width="9.7109375" style="3" customWidth="1"/>
    <col min="8482" max="8491" width="3.7109375" style="3" customWidth="1"/>
    <col min="8492" max="8492" width="11" style="3" customWidth="1"/>
    <col min="8493" max="8494" width="9.140625" style="3"/>
    <col min="8495" max="8495" width="24.42578125" style="3" customWidth="1"/>
    <col min="8496" max="8496" width="18.5703125" style="3" customWidth="1"/>
    <col min="8497" max="8497" width="15.140625" style="3" customWidth="1"/>
    <col min="8498" max="8498" width="10.5703125" style="3" customWidth="1"/>
    <col min="8499" max="8499" width="11.140625" style="3" customWidth="1"/>
    <col min="8500" max="8500" width="25" style="3" customWidth="1"/>
    <col min="8501" max="8501" width="6" style="3" customWidth="1"/>
    <col min="8502" max="8705" width="9.140625" style="3"/>
    <col min="8706" max="8706" width="3.7109375" style="3" customWidth="1"/>
    <col min="8707" max="8707" width="2.28515625" style="3" customWidth="1"/>
    <col min="8708" max="8709" width="3.7109375" style="3" customWidth="1"/>
    <col min="8710" max="8710" width="2.28515625" style="3" customWidth="1"/>
    <col min="8711" max="8712" width="3.7109375" style="3" customWidth="1"/>
    <col min="8713" max="8713" width="2.28515625" style="3" customWidth="1"/>
    <col min="8714" max="8716" width="3.7109375" style="3" customWidth="1"/>
    <col min="8717" max="8717" width="2.28515625" style="3" customWidth="1"/>
    <col min="8718" max="8719" width="3.7109375" style="3" customWidth="1"/>
    <col min="8720" max="8720" width="2.28515625" style="3" customWidth="1"/>
    <col min="8721" max="8722" width="3.7109375" style="3" customWidth="1"/>
    <col min="8723" max="8723" width="2.28515625" style="3" customWidth="1"/>
    <col min="8724" max="8725" width="3.7109375" style="3" customWidth="1"/>
    <col min="8726" max="8726" width="2.28515625" style="3" customWidth="1"/>
    <col min="8727" max="8728" width="3.7109375" style="3" customWidth="1"/>
    <col min="8729" max="8729" width="2.28515625" style="3" customWidth="1"/>
    <col min="8730" max="8731" width="3.7109375" style="3" customWidth="1"/>
    <col min="8732" max="8732" width="2.28515625" style="3" customWidth="1"/>
    <col min="8733" max="8734" width="3.7109375" style="3" customWidth="1"/>
    <col min="8735" max="8735" width="2.28515625" style="3" customWidth="1"/>
    <col min="8736" max="8736" width="3.7109375" style="3" customWidth="1"/>
    <col min="8737" max="8737" width="9.7109375" style="3" customWidth="1"/>
    <col min="8738" max="8747" width="3.7109375" style="3" customWidth="1"/>
    <col min="8748" max="8748" width="11" style="3" customWidth="1"/>
    <col min="8749" max="8750" width="9.140625" style="3"/>
    <col min="8751" max="8751" width="24.42578125" style="3" customWidth="1"/>
    <col min="8752" max="8752" width="18.5703125" style="3" customWidth="1"/>
    <col min="8753" max="8753" width="15.140625" style="3" customWidth="1"/>
    <col min="8754" max="8754" width="10.5703125" style="3" customWidth="1"/>
    <col min="8755" max="8755" width="11.140625" style="3" customWidth="1"/>
    <col min="8756" max="8756" width="25" style="3" customWidth="1"/>
    <col min="8757" max="8757" width="6" style="3" customWidth="1"/>
    <col min="8758" max="8961" width="9.140625" style="3"/>
    <col min="8962" max="8962" width="3.7109375" style="3" customWidth="1"/>
    <col min="8963" max="8963" width="2.28515625" style="3" customWidth="1"/>
    <col min="8964" max="8965" width="3.7109375" style="3" customWidth="1"/>
    <col min="8966" max="8966" width="2.28515625" style="3" customWidth="1"/>
    <col min="8967" max="8968" width="3.7109375" style="3" customWidth="1"/>
    <col min="8969" max="8969" width="2.28515625" style="3" customWidth="1"/>
    <col min="8970" max="8972" width="3.7109375" style="3" customWidth="1"/>
    <col min="8973" max="8973" width="2.28515625" style="3" customWidth="1"/>
    <col min="8974" max="8975" width="3.7109375" style="3" customWidth="1"/>
    <col min="8976" max="8976" width="2.28515625" style="3" customWidth="1"/>
    <col min="8977" max="8978" width="3.7109375" style="3" customWidth="1"/>
    <col min="8979" max="8979" width="2.28515625" style="3" customWidth="1"/>
    <col min="8980" max="8981" width="3.7109375" style="3" customWidth="1"/>
    <col min="8982" max="8982" width="2.28515625" style="3" customWidth="1"/>
    <col min="8983" max="8984" width="3.7109375" style="3" customWidth="1"/>
    <col min="8985" max="8985" width="2.28515625" style="3" customWidth="1"/>
    <col min="8986" max="8987" width="3.7109375" style="3" customWidth="1"/>
    <col min="8988" max="8988" width="2.28515625" style="3" customWidth="1"/>
    <col min="8989" max="8990" width="3.7109375" style="3" customWidth="1"/>
    <col min="8991" max="8991" width="2.28515625" style="3" customWidth="1"/>
    <col min="8992" max="8992" width="3.7109375" style="3" customWidth="1"/>
    <col min="8993" max="8993" width="9.7109375" style="3" customWidth="1"/>
    <col min="8994" max="9003" width="3.7109375" style="3" customWidth="1"/>
    <col min="9004" max="9004" width="11" style="3" customWidth="1"/>
    <col min="9005" max="9006" width="9.140625" style="3"/>
    <col min="9007" max="9007" width="24.42578125" style="3" customWidth="1"/>
    <col min="9008" max="9008" width="18.5703125" style="3" customWidth="1"/>
    <col min="9009" max="9009" width="15.140625" style="3" customWidth="1"/>
    <col min="9010" max="9010" width="10.5703125" style="3" customWidth="1"/>
    <col min="9011" max="9011" width="11.140625" style="3" customWidth="1"/>
    <col min="9012" max="9012" width="25" style="3" customWidth="1"/>
    <col min="9013" max="9013" width="6" style="3" customWidth="1"/>
    <col min="9014" max="9217" width="9.140625" style="3"/>
    <col min="9218" max="9218" width="3.7109375" style="3" customWidth="1"/>
    <col min="9219" max="9219" width="2.28515625" style="3" customWidth="1"/>
    <col min="9220" max="9221" width="3.7109375" style="3" customWidth="1"/>
    <col min="9222" max="9222" width="2.28515625" style="3" customWidth="1"/>
    <col min="9223" max="9224" width="3.7109375" style="3" customWidth="1"/>
    <col min="9225" max="9225" width="2.28515625" style="3" customWidth="1"/>
    <col min="9226" max="9228" width="3.7109375" style="3" customWidth="1"/>
    <col min="9229" max="9229" width="2.28515625" style="3" customWidth="1"/>
    <col min="9230" max="9231" width="3.7109375" style="3" customWidth="1"/>
    <col min="9232" max="9232" width="2.28515625" style="3" customWidth="1"/>
    <col min="9233" max="9234" width="3.7109375" style="3" customWidth="1"/>
    <col min="9235" max="9235" width="2.28515625" style="3" customWidth="1"/>
    <col min="9236" max="9237" width="3.7109375" style="3" customWidth="1"/>
    <col min="9238" max="9238" width="2.28515625" style="3" customWidth="1"/>
    <col min="9239" max="9240" width="3.7109375" style="3" customWidth="1"/>
    <col min="9241" max="9241" width="2.28515625" style="3" customWidth="1"/>
    <col min="9242" max="9243" width="3.7109375" style="3" customWidth="1"/>
    <col min="9244" max="9244" width="2.28515625" style="3" customWidth="1"/>
    <col min="9245" max="9246" width="3.7109375" style="3" customWidth="1"/>
    <col min="9247" max="9247" width="2.28515625" style="3" customWidth="1"/>
    <col min="9248" max="9248" width="3.7109375" style="3" customWidth="1"/>
    <col min="9249" max="9249" width="9.7109375" style="3" customWidth="1"/>
    <col min="9250" max="9259" width="3.7109375" style="3" customWidth="1"/>
    <col min="9260" max="9260" width="11" style="3" customWidth="1"/>
    <col min="9261" max="9262" width="9.140625" style="3"/>
    <col min="9263" max="9263" width="24.42578125" style="3" customWidth="1"/>
    <col min="9264" max="9264" width="18.5703125" style="3" customWidth="1"/>
    <col min="9265" max="9265" width="15.140625" style="3" customWidth="1"/>
    <col min="9266" max="9266" width="10.5703125" style="3" customWidth="1"/>
    <col min="9267" max="9267" width="11.140625" style="3" customWidth="1"/>
    <col min="9268" max="9268" width="25" style="3" customWidth="1"/>
    <col min="9269" max="9269" width="6" style="3" customWidth="1"/>
    <col min="9270" max="9473" width="9.140625" style="3"/>
    <col min="9474" max="9474" width="3.7109375" style="3" customWidth="1"/>
    <col min="9475" max="9475" width="2.28515625" style="3" customWidth="1"/>
    <col min="9476" max="9477" width="3.7109375" style="3" customWidth="1"/>
    <col min="9478" max="9478" width="2.28515625" style="3" customWidth="1"/>
    <col min="9479" max="9480" width="3.7109375" style="3" customWidth="1"/>
    <col min="9481" max="9481" width="2.28515625" style="3" customWidth="1"/>
    <col min="9482" max="9484" width="3.7109375" style="3" customWidth="1"/>
    <col min="9485" max="9485" width="2.28515625" style="3" customWidth="1"/>
    <col min="9486" max="9487" width="3.7109375" style="3" customWidth="1"/>
    <col min="9488" max="9488" width="2.28515625" style="3" customWidth="1"/>
    <col min="9489" max="9490" width="3.7109375" style="3" customWidth="1"/>
    <col min="9491" max="9491" width="2.28515625" style="3" customWidth="1"/>
    <col min="9492" max="9493" width="3.7109375" style="3" customWidth="1"/>
    <col min="9494" max="9494" width="2.28515625" style="3" customWidth="1"/>
    <col min="9495" max="9496" width="3.7109375" style="3" customWidth="1"/>
    <col min="9497" max="9497" width="2.28515625" style="3" customWidth="1"/>
    <col min="9498" max="9499" width="3.7109375" style="3" customWidth="1"/>
    <col min="9500" max="9500" width="2.28515625" style="3" customWidth="1"/>
    <col min="9501" max="9502" width="3.7109375" style="3" customWidth="1"/>
    <col min="9503" max="9503" width="2.28515625" style="3" customWidth="1"/>
    <col min="9504" max="9504" width="3.7109375" style="3" customWidth="1"/>
    <col min="9505" max="9505" width="9.7109375" style="3" customWidth="1"/>
    <col min="9506" max="9515" width="3.7109375" style="3" customWidth="1"/>
    <col min="9516" max="9516" width="11" style="3" customWidth="1"/>
    <col min="9517" max="9518" width="9.140625" style="3"/>
    <col min="9519" max="9519" width="24.42578125" style="3" customWidth="1"/>
    <col min="9520" max="9520" width="18.5703125" style="3" customWidth="1"/>
    <col min="9521" max="9521" width="15.140625" style="3" customWidth="1"/>
    <col min="9522" max="9522" width="10.5703125" style="3" customWidth="1"/>
    <col min="9523" max="9523" width="11.140625" style="3" customWidth="1"/>
    <col min="9524" max="9524" width="25" style="3" customWidth="1"/>
    <col min="9525" max="9525" width="6" style="3" customWidth="1"/>
    <col min="9526" max="9729" width="9.140625" style="3"/>
    <col min="9730" max="9730" width="3.7109375" style="3" customWidth="1"/>
    <col min="9731" max="9731" width="2.28515625" style="3" customWidth="1"/>
    <col min="9732" max="9733" width="3.7109375" style="3" customWidth="1"/>
    <col min="9734" max="9734" width="2.28515625" style="3" customWidth="1"/>
    <col min="9735" max="9736" width="3.7109375" style="3" customWidth="1"/>
    <col min="9737" max="9737" width="2.28515625" style="3" customWidth="1"/>
    <col min="9738" max="9740" width="3.7109375" style="3" customWidth="1"/>
    <col min="9741" max="9741" width="2.28515625" style="3" customWidth="1"/>
    <col min="9742" max="9743" width="3.7109375" style="3" customWidth="1"/>
    <col min="9744" max="9744" width="2.28515625" style="3" customWidth="1"/>
    <col min="9745" max="9746" width="3.7109375" style="3" customWidth="1"/>
    <col min="9747" max="9747" width="2.28515625" style="3" customWidth="1"/>
    <col min="9748" max="9749" width="3.7109375" style="3" customWidth="1"/>
    <col min="9750" max="9750" width="2.28515625" style="3" customWidth="1"/>
    <col min="9751" max="9752" width="3.7109375" style="3" customWidth="1"/>
    <col min="9753" max="9753" width="2.28515625" style="3" customWidth="1"/>
    <col min="9754" max="9755" width="3.7109375" style="3" customWidth="1"/>
    <col min="9756" max="9756" width="2.28515625" style="3" customWidth="1"/>
    <col min="9757" max="9758" width="3.7109375" style="3" customWidth="1"/>
    <col min="9759" max="9759" width="2.28515625" style="3" customWidth="1"/>
    <col min="9760" max="9760" width="3.7109375" style="3" customWidth="1"/>
    <col min="9761" max="9761" width="9.7109375" style="3" customWidth="1"/>
    <col min="9762" max="9771" width="3.7109375" style="3" customWidth="1"/>
    <col min="9772" max="9772" width="11" style="3" customWidth="1"/>
    <col min="9773" max="9774" width="9.140625" style="3"/>
    <col min="9775" max="9775" width="24.42578125" style="3" customWidth="1"/>
    <col min="9776" max="9776" width="18.5703125" style="3" customWidth="1"/>
    <col min="9777" max="9777" width="15.140625" style="3" customWidth="1"/>
    <col min="9778" max="9778" width="10.5703125" style="3" customWidth="1"/>
    <col min="9779" max="9779" width="11.140625" style="3" customWidth="1"/>
    <col min="9780" max="9780" width="25" style="3" customWidth="1"/>
    <col min="9781" max="9781" width="6" style="3" customWidth="1"/>
    <col min="9782" max="9985" width="9.140625" style="3"/>
    <col min="9986" max="9986" width="3.7109375" style="3" customWidth="1"/>
    <col min="9987" max="9987" width="2.28515625" style="3" customWidth="1"/>
    <col min="9988" max="9989" width="3.7109375" style="3" customWidth="1"/>
    <col min="9990" max="9990" width="2.28515625" style="3" customWidth="1"/>
    <col min="9991" max="9992" width="3.7109375" style="3" customWidth="1"/>
    <col min="9993" max="9993" width="2.28515625" style="3" customWidth="1"/>
    <col min="9994" max="9996" width="3.7109375" style="3" customWidth="1"/>
    <col min="9997" max="9997" width="2.28515625" style="3" customWidth="1"/>
    <col min="9998" max="9999" width="3.7109375" style="3" customWidth="1"/>
    <col min="10000" max="10000" width="2.28515625" style="3" customWidth="1"/>
    <col min="10001" max="10002" width="3.7109375" style="3" customWidth="1"/>
    <col min="10003" max="10003" width="2.28515625" style="3" customWidth="1"/>
    <col min="10004" max="10005" width="3.7109375" style="3" customWidth="1"/>
    <col min="10006" max="10006" width="2.28515625" style="3" customWidth="1"/>
    <col min="10007" max="10008" width="3.7109375" style="3" customWidth="1"/>
    <col min="10009" max="10009" width="2.28515625" style="3" customWidth="1"/>
    <col min="10010" max="10011" width="3.7109375" style="3" customWidth="1"/>
    <col min="10012" max="10012" width="2.28515625" style="3" customWidth="1"/>
    <col min="10013" max="10014" width="3.7109375" style="3" customWidth="1"/>
    <col min="10015" max="10015" width="2.28515625" style="3" customWidth="1"/>
    <col min="10016" max="10016" width="3.7109375" style="3" customWidth="1"/>
    <col min="10017" max="10017" width="9.7109375" style="3" customWidth="1"/>
    <col min="10018" max="10027" width="3.7109375" style="3" customWidth="1"/>
    <col min="10028" max="10028" width="11" style="3" customWidth="1"/>
    <col min="10029" max="10030" width="9.140625" style="3"/>
    <col min="10031" max="10031" width="24.42578125" style="3" customWidth="1"/>
    <col min="10032" max="10032" width="18.5703125" style="3" customWidth="1"/>
    <col min="10033" max="10033" width="15.140625" style="3" customWidth="1"/>
    <col min="10034" max="10034" width="10.5703125" style="3" customWidth="1"/>
    <col min="10035" max="10035" width="11.140625" style="3" customWidth="1"/>
    <col min="10036" max="10036" width="25" style="3" customWidth="1"/>
    <col min="10037" max="10037" width="6" style="3" customWidth="1"/>
    <col min="10038" max="10241" width="9.140625" style="3"/>
    <col min="10242" max="10242" width="3.7109375" style="3" customWidth="1"/>
    <col min="10243" max="10243" width="2.28515625" style="3" customWidth="1"/>
    <col min="10244" max="10245" width="3.7109375" style="3" customWidth="1"/>
    <col min="10246" max="10246" width="2.28515625" style="3" customWidth="1"/>
    <col min="10247" max="10248" width="3.7109375" style="3" customWidth="1"/>
    <col min="10249" max="10249" width="2.28515625" style="3" customWidth="1"/>
    <col min="10250" max="10252" width="3.7109375" style="3" customWidth="1"/>
    <col min="10253" max="10253" width="2.28515625" style="3" customWidth="1"/>
    <col min="10254" max="10255" width="3.7109375" style="3" customWidth="1"/>
    <col min="10256" max="10256" width="2.28515625" style="3" customWidth="1"/>
    <col min="10257" max="10258" width="3.7109375" style="3" customWidth="1"/>
    <col min="10259" max="10259" width="2.28515625" style="3" customWidth="1"/>
    <col min="10260" max="10261" width="3.7109375" style="3" customWidth="1"/>
    <col min="10262" max="10262" width="2.28515625" style="3" customWidth="1"/>
    <col min="10263" max="10264" width="3.7109375" style="3" customWidth="1"/>
    <col min="10265" max="10265" width="2.28515625" style="3" customWidth="1"/>
    <col min="10266" max="10267" width="3.7109375" style="3" customWidth="1"/>
    <col min="10268" max="10268" width="2.28515625" style="3" customWidth="1"/>
    <col min="10269" max="10270" width="3.7109375" style="3" customWidth="1"/>
    <col min="10271" max="10271" width="2.28515625" style="3" customWidth="1"/>
    <col min="10272" max="10272" width="3.7109375" style="3" customWidth="1"/>
    <col min="10273" max="10273" width="9.7109375" style="3" customWidth="1"/>
    <col min="10274" max="10283" width="3.7109375" style="3" customWidth="1"/>
    <col min="10284" max="10284" width="11" style="3" customWidth="1"/>
    <col min="10285" max="10286" width="9.140625" style="3"/>
    <col min="10287" max="10287" width="24.42578125" style="3" customWidth="1"/>
    <col min="10288" max="10288" width="18.5703125" style="3" customWidth="1"/>
    <col min="10289" max="10289" width="15.140625" style="3" customWidth="1"/>
    <col min="10290" max="10290" width="10.5703125" style="3" customWidth="1"/>
    <col min="10291" max="10291" width="11.140625" style="3" customWidth="1"/>
    <col min="10292" max="10292" width="25" style="3" customWidth="1"/>
    <col min="10293" max="10293" width="6" style="3" customWidth="1"/>
    <col min="10294" max="10497" width="9.140625" style="3"/>
    <col min="10498" max="10498" width="3.7109375" style="3" customWidth="1"/>
    <col min="10499" max="10499" width="2.28515625" style="3" customWidth="1"/>
    <col min="10500" max="10501" width="3.7109375" style="3" customWidth="1"/>
    <col min="10502" max="10502" width="2.28515625" style="3" customWidth="1"/>
    <col min="10503" max="10504" width="3.7109375" style="3" customWidth="1"/>
    <col min="10505" max="10505" width="2.28515625" style="3" customWidth="1"/>
    <col min="10506" max="10508" width="3.7109375" style="3" customWidth="1"/>
    <col min="10509" max="10509" width="2.28515625" style="3" customWidth="1"/>
    <col min="10510" max="10511" width="3.7109375" style="3" customWidth="1"/>
    <col min="10512" max="10512" width="2.28515625" style="3" customWidth="1"/>
    <col min="10513" max="10514" width="3.7109375" style="3" customWidth="1"/>
    <col min="10515" max="10515" width="2.28515625" style="3" customWidth="1"/>
    <col min="10516" max="10517" width="3.7109375" style="3" customWidth="1"/>
    <col min="10518" max="10518" width="2.28515625" style="3" customWidth="1"/>
    <col min="10519" max="10520" width="3.7109375" style="3" customWidth="1"/>
    <col min="10521" max="10521" width="2.28515625" style="3" customWidth="1"/>
    <col min="10522" max="10523" width="3.7109375" style="3" customWidth="1"/>
    <col min="10524" max="10524" width="2.28515625" style="3" customWidth="1"/>
    <col min="10525" max="10526" width="3.7109375" style="3" customWidth="1"/>
    <col min="10527" max="10527" width="2.28515625" style="3" customWidth="1"/>
    <col min="10528" max="10528" width="3.7109375" style="3" customWidth="1"/>
    <col min="10529" max="10529" width="9.7109375" style="3" customWidth="1"/>
    <col min="10530" max="10539" width="3.7109375" style="3" customWidth="1"/>
    <col min="10540" max="10540" width="11" style="3" customWidth="1"/>
    <col min="10541" max="10542" width="9.140625" style="3"/>
    <col min="10543" max="10543" width="24.42578125" style="3" customWidth="1"/>
    <col min="10544" max="10544" width="18.5703125" style="3" customWidth="1"/>
    <col min="10545" max="10545" width="15.140625" style="3" customWidth="1"/>
    <col min="10546" max="10546" width="10.5703125" style="3" customWidth="1"/>
    <col min="10547" max="10547" width="11.140625" style="3" customWidth="1"/>
    <col min="10548" max="10548" width="25" style="3" customWidth="1"/>
    <col min="10549" max="10549" width="6" style="3" customWidth="1"/>
    <col min="10550" max="10753" width="9.140625" style="3"/>
    <col min="10754" max="10754" width="3.7109375" style="3" customWidth="1"/>
    <col min="10755" max="10755" width="2.28515625" style="3" customWidth="1"/>
    <col min="10756" max="10757" width="3.7109375" style="3" customWidth="1"/>
    <col min="10758" max="10758" width="2.28515625" style="3" customWidth="1"/>
    <col min="10759" max="10760" width="3.7109375" style="3" customWidth="1"/>
    <col min="10761" max="10761" width="2.28515625" style="3" customWidth="1"/>
    <col min="10762" max="10764" width="3.7109375" style="3" customWidth="1"/>
    <col min="10765" max="10765" width="2.28515625" style="3" customWidth="1"/>
    <col min="10766" max="10767" width="3.7109375" style="3" customWidth="1"/>
    <col min="10768" max="10768" width="2.28515625" style="3" customWidth="1"/>
    <col min="10769" max="10770" width="3.7109375" style="3" customWidth="1"/>
    <col min="10771" max="10771" width="2.28515625" style="3" customWidth="1"/>
    <col min="10772" max="10773" width="3.7109375" style="3" customWidth="1"/>
    <col min="10774" max="10774" width="2.28515625" style="3" customWidth="1"/>
    <col min="10775" max="10776" width="3.7109375" style="3" customWidth="1"/>
    <col min="10777" max="10777" width="2.28515625" style="3" customWidth="1"/>
    <col min="10778" max="10779" width="3.7109375" style="3" customWidth="1"/>
    <col min="10780" max="10780" width="2.28515625" style="3" customWidth="1"/>
    <col min="10781" max="10782" width="3.7109375" style="3" customWidth="1"/>
    <col min="10783" max="10783" width="2.28515625" style="3" customWidth="1"/>
    <col min="10784" max="10784" width="3.7109375" style="3" customWidth="1"/>
    <col min="10785" max="10785" width="9.7109375" style="3" customWidth="1"/>
    <col min="10786" max="10795" width="3.7109375" style="3" customWidth="1"/>
    <col min="10796" max="10796" width="11" style="3" customWidth="1"/>
    <col min="10797" max="10798" width="9.140625" style="3"/>
    <col min="10799" max="10799" width="24.42578125" style="3" customWidth="1"/>
    <col min="10800" max="10800" width="18.5703125" style="3" customWidth="1"/>
    <col min="10801" max="10801" width="15.140625" style="3" customWidth="1"/>
    <col min="10802" max="10802" width="10.5703125" style="3" customWidth="1"/>
    <col min="10803" max="10803" width="11.140625" style="3" customWidth="1"/>
    <col min="10804" max="10804" width="25" style="3" customWidth="1"/>
    <col min="10805" max="10805" width="6" style="3" customWidth="1"/>
    <col min="10806" max="11009" width="9.140625" style="3"/>
    <col min="11010" max="11010" width="3.7109375" style="3" customWidth="1"/>
    <col min="11011" max="11011" width="2.28515625" style="3" customWidth="1"/>
    <col min="11012" max="11013" width="3.7109375" style="3" customWidth="1"/>
    <col min="11014" max="11014" width="2.28515625" style="3" customWidth="1"/>
    <col min="11015" max="11016" width="3.7109375" style="3" customWidth="1"/>
    <col min="11017" max="11017" width="2.28515625" style="3" customWidth="1"/>
    <col min="11018" max="11020" width="3.7109375" style="3" customWidth="1"/>
    <col min="11021" max="11021" width="2.28515625" style="3" customWidth="1"/>
    <col min="11022" max="11023" width="3.7109375" style="3" customWidth="1"/>
    <col min="11024" max="11024" width="2.28515625" style="3" customWidth="1"/>
    <col min="11025" max="11026" width="3.7109375" style="3" customWidth="1"/>
    <col min="11027" max="11027" width="2.28515625" style="3" customWidth="1"/>
    <col min="11028" max="11029" width="3.7109375" style="3" customWidth="1"/>
    <col min="11030" max="11030" width="2.28515625" style="3" customWidth="1"/>
    <col min="11031" max="11032" width="3.7109375" style="3" customWidth="1"/>
    <col min="11033" max="11033" width="2.28515625" style="3" customWidth="1"/>
    <col min="11034" max="11035" width="3.7109375" style="3" customWidth="1"/>
    <col min="11036" max="11036" width="2.28515625" style="3" customWidth="1"/>
    <col min="11037" max="11038" width="3.7109375" style="3" customWidth="1"/>
    <col min="11039" max="11039" width="2.28515625" style="3" customWidth="1"/>
    <col min="11040" max="11040" width="3.7109375" style="3" customWidth="1"/>
    <col min="11041" max="11041" width="9.7109375" style="3" customWidth="1"/>
    <col min="11042" max="11051" width="3.7109375" style="3" customWidth="1"/>
    <col min="11052" max="11052" width="11" style="3" customWidth="1"/>
    <col min="11053" max="11054" width="9.140625" style="3"/>
    <col min="11055" max="11055" width="24.42578125" style="3" customWidth="1"/>
    <col min="11056" max="11056" width="18.5703125" style="3" customWidth="1"/>
    <col min="11057" max="11057" width="15.140625" style="3" customWidth="1"/>
    <col min="11058" max="11058" width="10.5703125" style="3" customWidth="1"/>
    <col min="11059" max="11059" width="11.140625" style="3" customWidth="1"/>
    <col min="11060" max="11060" width="25" style="3" customWidth="1"/>
    <col min="11061" max="11061" width="6" style="3" customWidth="1"/>
    <col min="11062" max="11265" width="9.140625" style="3"/>
    <col min="11266" max="11266" width="3.7109375" style="3" customWidth="1"/>
    <col min="11267" max="11267" width="2.28515625" style="3" customWidth="1"/>
    <col min="11268" max="11269" width="3.7109375" style="3" customWidth="1"/>
    <col min="11270" max="11270" width="2.28515625" style="3" customWidth="1"/>
    <col min="11271" max="11272" width="3.7109375" style="3" customWidth="1"/>
    <col min="11273" max="11273" width="2.28515625" style="3" customWidth="1"/>
    <col min="11274" max="11276" width="3.7109375" style="3" customWidth="1"/>
    <col min="11277" max="11277" width="2.28515625" style="3" customWidth="1"/>
    <col min="11278" max="11279" width="3.7109375" style="3" customWidth="1"/>
    <col min="11280" max="11280" width="2.28515625" style="3" customWidth="1"/>
    <col min="11281" max="11282" width="3.7109375" style="3" customWidth="1"/>
    <col min="11283" max="11283" width="2.28515625" style="3" customWidth="1"/>
    <col min="11284" max="11285" width="3.7109375" style="3" customWidth="1"/>
    <col min="11286" max="11286" width="2.28515625" style="3" customWidth="1"/>
    <col min="11287" max="11288" width="3.7109375" style="3" customWidth="1"/>
    <col min="11289" max="11289" width="2.28515625" style="3" customWidth="1"/>
    <col min="11290" max="11291" width="3.7109375" style="3" customWidth="1"/>
    <col min="11292" max="11292" width="2.28515625" style="3" customWidth="1"/>
    <col min="11293" max="11294" width="3.7109375" style="3" customWidth="1"/>
    <col min="11295" max="11295" width="2.28515625" style="3" customWidth="1"/>
    <col min="11296" max="11296" width="3.7109375" style="3" customWidth="1"/>
    <col min="11297" max="11297" width="9.7109375" style="3" customWidth="1"/>
    <col min="11298" max="11307" width="3.7109375" style="3" customWidth="1"/>
    <col min="11308" max="11308" width="11" style="3" customWidth="1"/>
    <col min="11309" max="11310" width="9.140625" style="3"/>
    <col min="11311" max="11311" width="24.42578125" style="3" customWidth="1"/>
    <col min="11312" max="11312" width="18.5703125" style="3" customWidth="1"/>
    <col min="11313" max="11313" width="15.140625" style="3" customWidth="1"/>
    <col min="11314" max="11314" width="10.5703125" style="3" customWidth="1"/>
    <col min="11315" max="11315" width="11.140625" style="3" customWidth="1"/>
    <col min="11316" max="11316" width="25" style="3" customWidth="1"/>
    <col min="11317" max="11317" width="6" style="3" customWidth="1"/>
    <col min="11318" max="11521" width="9.140625" style="3"/>
    <col min="11522" max="11522" width="3.7109375" style="3" customWidth="1"/>
    <col min="11523" max="11523" width="2.28515625" style="3" customWidth="1"/>
    <col min="11524" max="11525" width="3.7109375" style="3" customWidth="1"/>
    <col min="11526" max="11526" width="2.28515625" style="3" customWidth="1"/>
    <col min="11527" max="11528" width="3.7109375" style="3" customWidth="1"/>
    <col min="11529" max="11529" width="2.28515625" style="3" customWidth="1"/>
    <col min="11530" max="11532" width="3.7109375" style="3" customWidth="1"/>
    <col min="11533" max="11533" width="2.28515625" style="3" customWidth="1"/>
    <col min="11534" max="11535" width="3.7109375" style="3" customWidth="1"/>
    <col min="11536" max="11536" width="2.28515625" style="3" customWidth="1"/>
    <col min="11537" max="11538" width="3.7109375" style="3" customWidth="1"/>
    <col min="11539" max="11539" width="2.28515625" style="3" customWidth="1"/>
    <col min="11540" max="11541" width="3.7109375" style="3" customWidth="1"/>
    <col min="11542" max="11542" width="2.28515625" style="3" customWidth="1"/>
    <col min="11543" max="11544" width="3.7109375" style="3" customWidth="1"/>
    <col min="11545" max="11545" width="2.28515625" style="3" customWidth="1"/>
    <col min="11546" max="11547" width="3.7109375" style="3" customWidth="1"/>
    <col min="11548" max="11548" width="2.28515625" style="3" customWidth="1"/>
    <col min="11549" max="11550" width="3.7109375" style="3" customWidth="1"/>
    <col min="11551" max="11551" width="2.28515625" style="3" customWidth="1"/>
    <col min="11552" max="11552" width="3.7109375" style="3" customWidth="1"/>
    <col min="11553" max="11553" width="9.7109375" style="3" customWidth="1"/>
    <col min="11554" max="11563" width="3.7109375" style="3" customWidth="1"/>
    <col min="11564" max="11564" width="11" style="3" customWidth="1"/>
    <col min="11565" max="11566" width="9.140625" style="3"/>
    <col min="11567" max="11567" width="24.42578125" style="3" customWidth="1"/>
    <col min="11568" max="11568" width="18.5703125" style="3" customWidth="1"/>
    <col min="11569" max="11569" width="15.140625" style="3" customWidth="1"/>
    <col min="11570" max="11570" width="10.5703125" style="3" customWidth="1"/>
    <col min="11571" max="11571" width="11.140625" style="3" customWidth="1"/>
    <col min="11572" max="11572" width="25" style="3" customWidth="1"/>
    <col min="11573" max="11573" width="6" style="3" customWidth="1"/>
    <col min="11574" max="11777" width="9.140625" style="3"/>
    <col min="11778" max="11778" width="3.7109375" style="3" customWidth="1"/>
    <col min="11779" max="11779" width="2.28515625" style="3" customWidth="1"/>
    <col min="11780" max="11781" width="3.7109375" style="3" customWidth="1"/>
    <col min="11782" max="11782" width="2.28515625" style="3" customWidth="1"/>
    <col min="11783" max="11784" width="3.7109375" style="3" customWidth="1"/>
    <col min="11785" max="11785" width="2.28515625" style="3" customWidth="1"/>
    <col min="11786" max="11788" width="3.7109375" style="3" customWidth="1"/>
    <col min="11789" max="11789" width="2.28515625" style="3" customWidth="1"/>
    <col min="11790" max="11791" width="3.7109375" style="3" customWidth="1"/>
    <col min="11792" max="11792" width="2.28515625" style="3" customWidth="1"/>
    <col min="11793" max="11794" width="3.7109375" style="3" customWidth="1"/>
    <col min="11795" max="11795" width="2.28515625" style="3" customWidth="1"/>
    <col min="11796" max="11797" width="3.7109375" style="3" customWidth="1"/>
    <col min="11798" max="11798" width="2.28515625" style="3" customWidth="1"/>
    <col min="11799" max="11800" width="3.7109375" style="3" customWidth="1"/>
    <col min="11801" max="11801" width="2.28515625" style="3" customWidth="1"/>
    <col min="11802" max="11803" width="3.7109375" style="3" customWidth="1"/>
    <col min="11804" max="11804" width="2.28515625" style="3" customWidth="1"/>
    <col min="11805" max="11806" width="3.7109375" style="3" customWidth="1"/>
    <col min="11807" max="11807" width="2.28515625" style="3" customWidth="1"/>
    <col min="11808" max="11808" width="3.7109375" style="3" customWidth="1"/>
    <col min="11809" max="11809" width="9.7109375" style="3" customWidth="1"/>
    <col min="11810" max="11819" width="3.7109375" style="3" customWidth="1"/>
    <col min="11820" max="11820" width="11" style="3" customWidth="1"/>
    <col min="11821" max="11822" width="9.140625" style="3"/>
    <col min="11823" max="11823" width="24.42578125" style="3" customWidth="1"/>
    <col min="11824" max="11824" width="18.5703125" style="3" customWidth="1"/>
    <col min="11825" max="11825" width="15.140625" style="3" customWidth="1"/>
    <col min="11826" max="11826" width="10.5703125" style="3" customWidth="1"/>
    <col min="11827" max="11827" width="11.140625" style="3" customWidth="1"/>
    <col min="11828" max="11828" width="25" style="3" customWidth="1"/>
    <col min="11829" max="11829" width="6" style="3" customWidth="1"/>
    <col min="11830" max="12033" width="9.140625" style="3"/>
    <col min="12034" max="12034" width="3.7109375" style="3" customWidth="1"/>
    <col min="12035" max="12035" width="2.28515625" style="3" customWidth="1"/>
    <col min="12036" max="12037" width="3.7109375" style="3" customWidth="1"/>
    <col min="12038" max="12038" width="2.28515625" style="3" customWidth="1"/>
    <col min="12039" max="12040" width="3.7109375" style="3" customWidth="1"/>
    <col min="12041" max="12041" width="2.28515625" style="3" customWidth="1"/>
    <col min="12042" max="12044" width="3.7109375" style="3" customWidth="1"/>
    <col min="12045" max="12045" width="2.28515625" style="3" customWidth="1"/>
    <col min="12046" max="12047" width="3.7109375" style="3" customWidth="1"/>
    <col min="12048" max="12048" width="2.28515625" style="3" customWidth="1"/>
    <col min="12049" max="12050" width="3.7109375" style="3" customWidth="1"/>
    <col min="12051" max="12051" width="2.28515625" style="3" customWidth="1"/>
    <col min="12052" max="12053" width="3.7109375" style="3" customWidth="1"/>
    <col min="12054" max="12054" width="2.28515625" style="3" customWidth="1"/>
    <col min="12055" max="12056" width="3.7109375" style="3" customWidth="1"/>
    <col min="12057" max="12057" width="2.28515625" style="3" customWidth="1"/>
    <col min="12058" max="12059" width="3.7109375" style="3" customWidth="1"/>
    <col min="12060" max="12060" width="2.28515625" style="3" customWidth="1"/>
    <col min="12061" max="12062" width="3.7109375" style="3" customWidth="1"/>
    <col min="12063" max="12063" width="2.28515625" style="3" customWidth="1"/>
    <col min="12064" max="12064" width="3.7109375" style="3" customWidth="1"/>
    <col min="12065" max="12065" width="9.7109375" style="3" customWidth="1"/>
    <col min="12066" max="12075" width="3.7109375" style="3" customWidth="1"/>
    <col min="12076" max="12076" width="11" style="3" customWidth="1"/>
    <col min="12077" max="12078" width="9.140625" style="3"/>
    <col min="12079" max="12079" width="24.42578125" style="3" customWidth="1"/>
    <col min="12080" max="12080" width="18.5703125" style="3" customWidth="1"/>
    <col min="12081" max="12081" width="15.140625" style="3" customWidth="1"/>
    <col min="12082" max="12082" width="10.5703125" style="3" customWidth="1"/>
    <col min="12083" max="12083" width="11.140625" style="3" customWidth="1"/>
    <col min="12084" max="12084" width="25" style="3" customWidth="1"/>
    <col min="12085" max="12085" width="6" style="3" customWidth="1"/>
    <col min="12086" max="12289" width="9.140625" style="3"/>
    <col min="12290" max="12290" width="3.7109375" style="3" customWidth="1"/>
    <col min="12291" max="12291" width="2.28515625" style="3" customWidth="1"/>
    <col min="12292" max="12293" width="3.7109375" style="3" customWidth="1"/>
    <col min="12294" max="12294" width="2.28515625" style="3" customWidth="1"/>
    <col min="12295" max="12296" width="3.7109375" style="3" customWidth="1"/>
    <col min="12297" max="12297" width="2.28515625" style="3" customWidth="1"/>
    <col min="12298" max="12300" width="3.7109375" style="3" customWidth="1"/>
    <col min="12301" max="12301" width="2.28515625" style="3" customWidth="1"/>
    <col min="12302" max="12303" width="3.7109375" style="3" customWidth="1"/>
    <col min="12304" max="12304" width="2.28515625" style="3" customWidth="1"/>
    <col min="12305" max="12306" width="3.7109375" style="3" customWidth="1"/>
    <col min="12307" max="12307" width="2.28515625" style="3" customWidth="1"/>
    <col min="12308" max="12309" width="3.7109375" style="3" customWidth="1"/>
    <col min="12310" max="12310" width="2.28515625" style="3" customWidth="1"/>
    <col min="12311" max="12312" width="3.7109375" style="3" customWidth="1"/>
    <col min="12313" max="12313" width="2.28515625" style="3" customWidth="1"/>
    <col min="12314" max="12315" width="3.7109375" style="3" customWidth="1"/>
    <col min="12316" max="12316" width="2.28515625" style="3" customWidth="1"/>
    <col min="12317" max="12318" width="3.7109375" style="3" customWidth="1"/>
    <col min="12319" max="12319" width="2.28515625" style="3" customWidth="1"/>
    <col min="12320" max="12320" width="3.7109375" style="3" customWidth="1"/>
    <col min="12321" max="12321" width="9.7109375" style="3" customWidth="1"/>
    <col min="12322" max="12331" width="3.7109375" style="3" customWidth="1"/>
    <col min="12332" max="12332" width="11" style="3" customWidth="1"/>
    <col min="12333" max="12334" width="9.140625" style="3"/>
    <col min="12335" max="12335" width="24.42578125" style="3" customWidth="1"/>
    <col min="12336" max="12336" width="18.5703125" style="3" customWidth="1"/>
    <col min="12337" max="12337" width="15.140625" style="3" customWidth="1"/>
    <col min="12338" max="12338" width="10.5703125" style="3" customWidth="1"/>
    <col min="12339" max="12339" width="11.140625" style="3" customWidth="1"/>
    <col min="12340" max="12340" width="25" style="3" customWidth="1"/>
    <col min="12341" max="12341" width="6" style="3" customWidth="1"/>
    <col min="12342" max="12545" width="9.140625" style="3"/>
    <col min="12546" max="12546" width="3.7109375" style="3" customWidth="1"/>
    <col min="12547" max="12547" width="2.28515625" style="3" customWidth="1"/>
    <col min="12548" max="12549" width="3.7109375" style="3" customWidth="1"/>
    <col min="12550" max="12550" width="2.28515625" style="3" customWidth="1"/>
    <col min="12551" max="12552" width="3.7109375" style="3" customWidth="1"/>
    <col min="12553" max="12553" width="2.28515625" style="3" customWidth="1"/>
    <col min="12554" max="12556" width="3.7109375" style="3" customWidth="1"/>
    <col min="12557" max="12557" width="2.28515625" style="3" customWidth="1"/>
    <col min="12558" max="12559" width="3.7109375" style="3" customWidth="1"/>
    <col min="12560" max="12560" width="2.28515625" style="3" customWidth="1"/>
    <col min="12561" max="12562" width="3.7109375" style="3" customWidth="1"/>
    <col min="12563" max="12563" width="2.28515625" style="3" customWidth="1"/>
    <col min="12564" max="12565" width="3.7109375" style="3" customWidth="1"/>
    <col min="12566" max="12566" width="2.28515625" style="3" customWidth="1"/>
    <col min="12567" max="12568" width="3.7109375" style="3" customWidth="1"/>
    <col min="12569" max="12569" width="2.28515625" style="3" customWidth="1"/>
    <col min="12570" max="12571" width="3.7109375" style="3" customWidth="1"/>
    <col min="12572" max="12572" width="2.28515625" style="3" customWidth="1"/>
    <col min="12573" max="12574" width="3.7109375" style="3" customWidth="1"/>
    <col min="12575" max="12575" width="2.28515625" style="3" customWidth="1"/>
    <col min="12576" max="12576" width="3.7109375" style="3" customWidth="1"/>
    <col min="12577" max="12577" width="9.7109375" style="3" customWidth="1"/>
    <col min="12578" max="12587" width="3.7109375" style="3" customWidth="1"/>
    <col min="12588" max="12588" width="11" style="3" customWidth="1"/>
    <col min="12589" max="12590" width="9.140625" style="3"/>
    <col min="12591" max="12591" width="24.42578125" style="3" customWidth="1"/>
    <col min="12592" max="12592" width="18.5703125" style="3" customWidth="1"/>
    <col min="12593" max="12593" width="15.140625" style="3" customWidth="1"/>
    <col min="12594" max="12594" width="10.5703125" style="3" customWidth="1"/>
    <col min="12595" max="12595" width="11.140625" style="3" customWidth="1"/>
    <col min="12596" max="12596" width="25" style="3" customWidth="1"/>
    <col min="12597" max="12597" width="6" style="3" customWidth="1"/>
    <col min="12598" max="12801" width="9.140625" style="3"/>
    <col min="12802" max="12802" width="3.7109375" style="3" customWidth="1"/>
    <col min="12803" max="12803" width="2.28515625" style="3" customWidth="1"/>
    <col min="12804" max="12805" width="3.7109375" style="3" customWidth="1"/>
    <col min="12806" max="12806" width="2.28515625" style="3" customWidth="1"/>
    <col min="12807" max="12808" width="3.7109375" style="3" customWidth="1"/>
    <col min="12809" max="12809" width="2.28515625" style="3" customWidth="1"/>
    <col min="12810" max="12812" width="3.7109375" style="3" customWidth="1"/>
    <col min="12813" max="12813" width="2.28515625" style="3" customWidth="1"/>
    <col min="12814" max="12815" width="3.7109375" style="3" customWidth="1"/>
    <col min="12816" max="12816" width="2.28515625" style="3" customWidth="1"/>
    <col min="12817" max="12818" width="3.7109375" style="3" customWidth="1"/>
    <col min="12819" max="12819" width="2.28515625" style="3" customWidth="1"/>
    <col min="12820" max="12821" width="3.7109375" style="3" customWidth="1"/>
    <col min="12822" max="12822" width="2.28515625" style="3" customWidth="1"/>
    <col min="12823" max="12824" width="3.7109375" style="3" customWidth="1"/>
    <col min="12825" max="12825" width="2.28515625" style="3" customWidth="1"/>
    <col min="12826" max="12827" width="3.7109375" style="3" customWidth="1"/>
    <col min="12828" max="12828" width="2.28515625" style="3" customWidth="1"/>
    <col min="12829" max="12830" width="3.7109375" style="3" customWidth="1"/>
    <col min="12831" max="12831" width="2.28515625" style="3" customWidth="1"/>
    <col min="12832" max="12832" width="3.7109375" style="3" customWidth="1"/>
    <col min="12833" max="12833" width="9.7109375" style="3" customWidth="1"/>
    <col min="12834" max="12843" width="3.7109375" style="3" customWidth="1"/>
    <col min="12844" max="12844" width="11" style="3" customWidth="1"/>
    <col min="12845" max="12846" width="9.140625" style="3"/>
    <col min="12847" max="12847" width="24.42578125" style="3" customWidth="1"/>
    <col min="12848" max="12848" width="18.5703125" style="3" customWidth="1"/>
    <col min="12849" max="12849" width="15.140625" style="3" customWidth="1"/>
    <col min="12850" max="12850" width="10.5703125" style="3" customWidth="1"/>
    <col min="12851" max="12851" width="11.140625" style="3" customWidth="1"/>
    <col min="12852" max="12852" width="25" style="3" customWidth="1"/>
    <col min="12853" max="12853" width="6" style="3" customWidth="1"/>
    <col min="12854" max="13057" width="9.140625" style="3"/>
    <col min="13058" max="13058" width="3.7109375" style="3" customWidth="1"/>
    <col min="13059" max="13059" width="2.28515625" style="3" customWidth="1"/>
    <col min="13060" max="13061" width="3.7109375" style="3" customWidth="1"/>
    <col min="13062" max="13062" width="2.28515625" style="3" customWidth="1"/>
    <col min="13063" max="13064" width="3.7109375" style="3" customWidth="1"/>
    <col min="13065" max="13065" width="2.28515625" style="3" customWidth="1"/>
    <col min="13066" max="13068" width="3.7109375" style="3" customWidth="1"/>
    <col min="13069" max="13069" width="2.28515625" style="3" customWidth="1"/>
    <col min="13070" max="13071" width="3.7109375" style="3" customWidth="1"/>
    <col min="13072" max="13072" width="2.28515625" style="3" customWidth="1"/>
    <col min="13073" max="13074" width="3.7109375" style="3" customWidth="1"/>
    <col min="13075" max="13075" width="2.28515625" style="3" customWidth="1"/>
    <col min="13076" max="13077" width="3.7109375" style="3" customWidth="1"/>
    <col min="13078" max="13078" width="2.28515625" style="3" customWidth="1"/>
    <col min="13079" max="13080" width="3.7109375" style="3" customWidth="1"/>
    <col min="13081" max="13081" width="2.28515625" style="3" customWidth="1"/>
    <col min="13082" max="13083" width="3.7109375" style="3" customWidth="1"/>
    <col min="13084" max="13084" width="2.28515625" style="3" customWidth="1"/>
    <col min="13085" max="13086" width="3.7109375" style="3" customWidth="1"/>
    <col min="13087" max="13087" width="2.28515625" style="3" customWidth="1"/>
    <col min="13088" max="13088" width="3.7109375" style="3" customWidth="1"/>
    <col min="13089" max="13089" width="9.7109375" style="3" customWidth="1"/>
    <col min="13090" max="13099" width="3.7109375" style="3" customWidth="1"/>
    <col min="13100" max="13100" width="11" style="3" customWidth="1"/>
    <col min="13101" max="13102" width="9.140625" style="3"/>
    <col min="13103" max="13103" width="24.42578125" style="3" customWidth="1"/>
    <col min="13104" max="13104" width="18.5703125" style="3" customWidth="1"/>
    <col min="13105" max="13105" width="15.140625" style="3" customWidth="1"/>
    <col min="13106" max="13106" width="10.5703125" style="3" customWidth="1"/>
    <col min="13107" max="13107" width="11.140625" style="3" customWidth="1"/>
    <col min="13108" max="13108" width="25" style="3" customWidth="1"/>
    <col min="13109" max="13109" width="6" style="3" customWidth="1"/>
    <col min="13110" max="13313" width="9.140625" style="3"/>
    <col min="13314" max="13314" width="3.7109375" style="3" customWidth="1"/>
    <col min="13315" max="13315" width="2.28515625" style="3" customWidth="1"/>
    <col min="13316" max="13317" width="3.7109375" style="3" customWidth="1"/>
    <col min="13318" max="13318" width="2.28515625" style="3" customWidth="1"/>
    <col min="13319" max="13320" width="3.7109375" style="3" customWidth="1"/>
    <col min="13321" max="13321" width="2.28515625" style="3" customWidth="1"/>
    <col min="13322" max="13324" width="3.7109375" style="3" customWidth="1"/>
    <col min="13325" max="13325" width="2.28515625" style="3" customWidth="1"/>
    <col min="13326" max="13327" width="3.7109375" style="3" customWidth="1"/>
    <col min="13328" max="13328" width="2.28515625" style="3" customWidth="1"/>
    <col min="13329" max="13330" width="3.7109375" style="3" customWidth="1"/>
    <col min="13331" max="13331" width="2.28515625" style="3" customWidth="1"/>
    <col min="13332" max="13333" width="3.7109375" style="3" customWidth="1"/>
    <col min="13334" max="13334" width="2.28515625" style="3" customWidth="1"/>
    <col min="13335" max="13336" width="3.7109375" style="3" customWidth="1"/>
    <col min="13337" max="13337" width="2.28515625" style="3" customWidth="1"/>
    <col min="13338" max="13339" width="3.7109375" style="3" customWidth="1"/>
    <col min="13340" max="13340" width="2.28515625" style="3" customWidth="1"/>
    <col min="13341" max="13342" width="3.7109375" style="3" customWidth="1"/>
    <col min="13343" max="13343" width="2.28515625" style="3" customWidth="1"/>
    <col min="13344" max="13344" width="3.7109375" style="3" customWidth="1"/>
    <col min="13345" max="13345" width="9.7109375" style="3" customWidth="1"/>
    <col min="13346" max="13355" width="3.7109375" style="3" customWidth="1"/>
    <col min="13356" max="13356" width="11" style="3" customWidth="1"/>
    <col min="13357" max="13358" width="9.140625" style="3"/>
    <col min="13359" max="13359" width="24.42578125" style="3" customWidth="1"/>
    <col min="13360" max="13360" width="18.5703125" style="3" customWidth="1"/>
    <col min="13361" max="13361" width="15.140625" style="3" customWidth="1"/>
    <col min="13362" max="13362" width="10.5703125" style="3" customWidth="1"/>
    <col min="13363" max="13363" width="11.140625" style="3" customWidth="1"/>
    <col min="13364" max="13364" width="25" style="3" customWidth="1"/>
    <col min="13365" max="13365" width="6" style="3" customWidth="1"/>
    <col min="13366" max="13569" width="9.140625" style="3"/>
    <col min="13570" max="13570" width="3.7109375" style="3" customWidth="1"/>
    <col min="13571" max="13571" width="2.28515625" style="3" customWidth="1"/>
    <col min="13572" max="13573" width="3.7109375" style="3" customWidth="1"/>
    <col min="13574" max="13574" width="2.28515625" style="3" customWidth="1"/>
    <col min="13575" max="13576" width="3.7109375" style="3" customWidth="1"/>
    <col min="13577" max="13577" width="2.28515625" style="3" customWidth="1"/>
    <col min="13578" max="13580" width="3.7109375" style="3" customWidth="1"/>
    <col min="13581" max="13581" width="2.28515625" style="3" customWidth="1"/>
    <col min="13582" max="13583" width="3.7109375" style="3" customWidth="1"/>
    <col min="13584" max="13584" width="2.28515625" style="3" customWidth="1"/>
    <col min="13585" max="13586" width="3.7109375" style="3" customWidth="1"/>
    <col min="13587" max="13587" width="2.28515625" style="3" customWidth="1"/>
    <col min="13588" max="13589" width="3.7109375" style="3" customWidth="1"/>
    <col min="13590" max="13590" width="2.28515625" style="3" customWidth="1"/>
    <col min="13591" max="13592" width="3.7109375" style="3" customWidth="1"/>
    <col min="13593" max="13593" width="2.28515625" style="3" customWidth="1"/>
    <col min="13594" max="13595" width="3.7109375" style="3" customWidth="1"/>
    <col min="13596" max="13596" width="2.28515625" style="3" customWidth="1"/>
    <col min="13597" max="13598" width="3.7109375" style="3" customWidth="1"/>
    <col min="13599" max="13599" width="2.28515625" style="3" customWidth="1"/>
    <col min="13600" max="13600" width="3.7109375" style="3" customWidth="1"/>
    <col min="13601" max="13601" width="9.7109375" style="3" customWidth="1"/>
    <col min="13602" max="13611" width="3.7109375" style="3" customWidth="1"/>
    <col min="13612" max="13612" width="11" style="3" customWidth="1"/>
    <col min="13613" max="13614" width="9.140625" style="3"/>
    <col min="13615" max="13615" width="24.42578125" style="3" customWidth="1"/>
    <col min="13616" max="13616" width="18.5703125" style="3" customWidth="1"/>
    <col min="13617" max="13617" width="15.140625" style="3" customWidth="1"/>
    <col min="13618" max="13618" width="10.5703125" style="3" customWidth="1"/>
    <col min="13619" max="13619" width="11.140625" style="3" customWidth="1"/>
    <col min="13620" max="13620" width="25" style="3" customWidth="1"/>
    <col min="13621" max="13621" width="6" style="3" customWidth="1"/>
    <col min="13622" max="13825" width="9.140625" style="3"/>
    <col min="13826" max="13826" width="3.7109375" style="3" customWidth="1"/>
    <col min="13827" max="13827" width="2.28515625" style="3" customWidth="1"/>
    <col min="13828" max="13829" width="3.7109375" style="3" customWidth="1"/>
    <col min="13830" max="13830" width="2.28515625" style="3" customWidth="1"/>
    <col min="13831" max="13832" width="3.7109375" style="3" customWidth="1"/>
    <col min="13833" max="13833" width="2.28515625" style="3" customWidth="1"/>
    <col min="13834" max="13836" width="3.7109375" style="3" customWidth="1"/>
    <col min="13837" max="13837" width="2.28515625" style="3" customWidth="1"/>
    <col min="13838" max="13839" width="3.7109375" style="3" customWidth="1"/>
    <col min="13840" max="13840" width="2.28515625" style="3" customWidth="1"/>
    <col min="13841" max="13842" width="3.7109375" style="3" customWidth="1"/>
    <col min="13843" max="13843" width="2.28515625" style="3" customWidth="1"/>
    <col min="13844" max="13845" width="3.7109375" style="3" customWidth="1"/>
    <col min="13846" max="13846" width="2.28515625" style="3" customWidth="1"/>
    <col min="13847" max="13848" width="3.7109375" style="3" customWidth="1"/>
    <col min="13849" max="13849" width="2.28515625" style="3" customWidth="1"/>
    <col min="13850" max="13851" width="3.7109375" style="3" customWidth="1"/>
    <col min="13852" max="13852" width="2.28515625" style="3" customWidth="1"/>
    <col min="13853" max="13854" width="3.7109375" style="3" customWidth="1"/>
    <col min="13855" max="13855" width="2.28515625" style="3" customWidth="1"/>
    <col min="13856" max="13856" width="3.7109375" style="3" customWidth="1"/>
    <col min="13857" max="13857" width="9.7109375" style="3" customWidth="1"/>
    <col min="13858" max="13867" width="3.7109375" style="3" customWidth="1"/>
    <col min="13868" max="13868" width="11" style="3" customWidth="1"/>
    <col min="13869" max="13870" width="9.140625" style="3"/>
    <col min="13871" max="13871" width="24.42578125" style="3" customWidth="1"/>
    <col min="13872" max="13872" width="18.5703125" style="3" customWidth="1"/>
    <col min="13873" max="13873" width="15.140625" style="3" customWidth="1"/>
    <col min="13874" max="13874" width="10.5703125" style="3" customWidth="1"/>
    <col min="13875" max="13875" width="11.140625" style="3" customWidth="1"/>
    <col min="13876" max="13876" width="25" style="3" customWidth="1"/>
    <col min="13877" max="13877" width="6" style="3" customWidth="1"/>
    <col min="13878" max="14081" width="9.140625" style="3"/>
    <col min="14082" max="14082" width="3.7109375" style="3" customWidth="1"/>
    <col min="14083" max="14083" width="2.28515625" style="3" customWidth="1"/>
    <col min="14084" max="14085" width="3.7109375" style="3" customWidth="1"/>
    <col min="14086" max="14086" width="2.28515625" style="3" customWidth="1"/>
    <col min="14087" max="14088" width="3.7109375" style="3" customWidth="1"/>
    <col min="14089" max="14089" width="2.28515625" style="3" customWidth="1"/>
    <col min="14090" max="14092" width="3.7109375" style="3" customWidth="1"/>
    <col min="14093" max="14093" width="2.28515625" style="3" customWidth="1"/>
    <col min="14094" max="14095" width="3.7109375" style="3" customWidth="1"/>
    <col min="14096" max="14096" width="2.28515625" style="3" customWidth="1"/>
    <col min="14097" max="14098" width="3.7109375" style="3" customWidth="1"/>
    <col min="14099" max="14099" width="2.28515625" style="3" customWidth="1"/>
    <col min="14100" max="14101" width="3.7109375" style="3" customWidth="1"/>
    <col min="14102" max="14102" width="2.28515625" style="3" customWidth="1"/>
    <col min="14103" max="14104" width="3.7109375" style="3" customWidth="1"/>
    <col min="14105" max="14105" width="2.28515625" style="3" customWidth="1"/>
    <col min="14106" max="14107" width="3.7109375" style="3" customWidth="1"/>
    <col min="14108" max="14108" width="2.28515625" style="3" customWidth="1"/>
    <col min="14109" max="14110" width="3.7109375" style="3" customWidth="1"/>
    <col min="14111" max="14111" width="2.28515625" style="3" customWidth="1"/>
    <col min="14112" max="14112" width="3.7109375" style="3" customWidth="1"/>
    <col min="14113" max="14113" width="9.7109375" style="3" customWidth="1"/>
    <col min="14114" max="14123" width="3.7109375" style="3" customWidth="1"/>
    <col min="14124" max="14124" width="11" style="3" customWidth="1"/>
    <col min="14125" max="14126" width="9.140625" style="3"/>
    <col min="14127" max="14127" width="24.42578125" style="3" customWidth="1"/>
    <col min="14128" max="14128" width="18.5703125" style="3" customWidth="1"/>
    <col min="14129" max="14129" width="15.140625" style="3" customWidth="1"/>
    <col min="14130" max="14130" width="10.5703125" style="3" customWidth="1"/>
    <col min="14131" max="14131" width="11.140625" style="3" customWidth="1"/>
    <col min="14132" max="14132" width="25" style="3" customWidth="1"/>
    <col min="14133" max="14133" width="6" style="3" customWidth="1"/>
    <col min="14134" max="14337" width="9.140625" style="3"/>
    <col min="14338" max="14338" width="3.7109375" style="3" customWidth="1"/>
    <col min="14339" max="14339" width="2.28515625" style="3" customWidth="1"/>
    <col min="14340" max="14341" width="3.7109375" style="3" customWidth="1"/>
    <col min="14342" max="14342" width="2.28515625" style="3" customWidth="1"/>
    <col min="14343" max="14344" width="3.7109375" style="3" customWidth="1"/>
    <col min="14345" max="14345" width="2.28515625" style="3" customWidth="1"/>
    <col min="14346" max="14348" width="3.7109375" style="3" customWidth="1"/>
    <col min="14349" max="14349" width="2.28515625" style="3" customWidth="1"/>
    <col min="14350" max="14351" width="3.7109375" style="3" customWidth="1"/>
    <col min="14352" max="14352" width="2.28515625" style="3" customWidth="1"/>
    <col min="14353" max="14354" width="3.7109375" style="3" customWidth="1"/>
    <col min="14355" max="14355" width="2.28515625" style="3" customWidth="1"/>
    <col min="14356" max="14357" width="3.7109375" style="3" customWidth="1"/>
    <col min="14358" max="14358" width="2.28515625" style="3" customWidth="1"/>
    <col min="14359" max="14360" width="3.7109375" style="3" customWidth="1"/>
    <col min="14361" max="14361" width="2.28515625" style="3" customWidth="1"/>
    <col min="14362" max="14363" width="3.7109375" style="3" customWidth="1"/>
    <col min="14364" max="14364" width="2.28515625" style="3" customWidth="1"/>
    <col min="14365" max="14366" width="3.7109375" style="3" customWidth="1"/>
    <col min="14367" max="14367" width="2.28515625" style="3" customWidth="1"/>
    <col min="14368" max="14368" width="3.7109375" style="3" customWidth="1"/>
    <col min="14369" max="14369" width="9.7109375" style="3" customWidth="1"/>
    <col min="14370" max="14379" width="3.7109375" style="3" customWidth="1"/>
    <col min="14380" max="14380" width="11" style="3" customWidth="1"/>
    <col min="14381" max="14382" width="9.140625" style="3"/>
    <col min="14383" max="14383" width="24.42578125" style="3" customWidth="1"/>
    <col min="14384" max="14384" width="18.5703125" style="3" customWidth="1"/>
    <col min="14385" max="14385" width="15.140625" style="3" customWidth="1"/>
    <col min="14386" max="14386" width="10.5703125" style="3" customWidth="1"/>
    <col min="14387" max="14387" width="11.140625" style="3" customWidth="1"/>
    <col min="14388" max="14388" width="25" style="3" customWidth="1"/>
    <col min="14389" max="14389" width="6" style="3" customWidth="1"/>
    <col min="14390" max="14593" width="9.140625" style="3"/>
    <col min="14594" max="14594" width="3.7109375" style="3" customWidth="1"/>
    <col min="14595" max="14595" width="2.28515625" style="3" customWidth="1"/>
    <col min="14596" max="14597" width="3.7109375" style="3" customWidth="1"/>
    <col min="14598" max="14598" width="2.28515625" style="3" customWidth="1"/>
    <col min="14599" max="14600" width="3.7109375" style="3" customWidth="1"/>
    <col min="14601" max="14601" width="2.28515625" style="3" customWidth="1"/>
    <col min="14602" max="14604" width="3.7109375" style="3" customWidth="1"/>
    <col min="14605" max="14605" width="2.28515625" style="3" customWidth="1"/>
    <col min="14606" max="14607" width="3.7109375" style="3" customWidth="1"/>
    <col min="14608" max="14608" width="2.28515625" style="3" customWidth="1"/>
    <col min="14609" max="14610" width="3.7109375" style="3" customWidth="1"/>
    <col min="14611" max="14611" width="2.28515625" style="3" customWidth="1"/>
    <col min="14612" max="14613" width="3.7109375" style="3" customWidth="1"/>
    <col min="14614" max="14614" width="2.28515625" style="3" customWidth="1"/>
    <col min="14615" max="14616" width="3.7109375" style="3" customWidth="1"/>
    <col min="14617" max="14617" width="2.28515625" style="3" customWidth="1"/>
    <col min="14618" max="14619" width="3.7109375" style="3" customWidth="1"/>
    <col min="14620" max="14620" width="2.28515625" style="3" customWidth="1"/>
    <col min="14621" max="14622" width="3.7109375" style="3" customWidth="1"/>
    <col min="14623" max="14623" width="2.28515625" style="3" customWidth="1"/>
    <col min="14624" max="14624" width="3.7109375" style="3" customWidth="1"/>
    <col min="14625" max="14625" width="9.7109375" style="3" customWidth="1"/>
    <col min="14626" max="14635" width="3.7109375" style="3" customWidth="1"/>
    <col min="14636" max="14636" width="11" style="3" customWidth="1"/>
    <col min="14637" max="14638" width="9.140625" style="3"/>
    <col min="14639" max="14639" width="24.42578125" style="3" customWidth="1"/>
    <col min="14640" max="14640" width="18.5703125" style="3" customWidth="1"/>
    <col min="14641" max="14641" width="15.140625" style="3" customWidth="1"/>
    <col min="14642" max="14642" width="10.5703125" style="3" customWidth="1"/>
    <col min="14643" max="14643" width="11.140625" style="3" customWidth="1"/>
    <col min="14644" max="14644" width="25" style="3" customWidth="1"/>
    <col min="14645" max="14645" width="6" style="3" customWidth="1"/>
    <col min="14646" max="14849" width="9.140625" style="3"/>
    <col min="14850" max="14850" width="3.7109375" style="3" customWidth="1"/>
    <col min="14851" max="14851" width="2.28515625" style="3" customWidth="1"/>
    <col min="14852" max="14853" width="3.7109375" style="3" customWidth="1"/>
    <col min="14854" max="14854" width="2.28515625" style="3" customWidth="1"/>
    <col min="14855" max="14856" width="3.7109375" style="3" customWidth="1"/>
    <col min="14857" max="14857" width="2.28515625" style="3" customWidth="1"/>
    <col min="14858" max="14860" width="3.7109375" style="3" customWidth="1"/>
    <col min="14861" max="14861" width="2.28515625" style="3" customWidth="1"/>
    <col min="14862" max="14863" width="3.7109375" style="3" customWidth="1"/>
    <col min="14864" max="14864" width="2.28515625" style="3" customWidth="1"/>
    <col min="14865" max="14866" width="3.7109375" style="3" customWidth="1"/>
    <col min="14867" max="14867" width="2.28515625" style="3" customWidth="1"/>
    <col min="14868" max="14869" width="3.7109375" style="3" customWidth="1"/>
    <col min="14870" max="14870" width="2.28515625" style="3" customWidth="1"/>
    <col min="14871" max="14872" width="3.7109375" style="3" customWidth="1"/>
    <col min="14873" max="14873" width="2.28515625" style="3" customWidth="1"/>
    <col min="14874" max="14875" width="3.7109375" style="3" customWidth="1"/>
    <col min="14876" max="14876" width="2.28515625" style="3" customWidth="1"/>
    <col min="14877" max="14878" width="3.7109375" style="3" customWidth="1"/>
    <col min="14879" max="14879" width="2.28515625" style="3" customWidth="1"/>
    <col min="14880" max="14880" width="3.7109375" style="3" customWidth="1"/>
    <col min="14881" max="14881" width="9.7109375" style="3" customWidth="1"/>
    <col min="14882" max="14891" width="3.7109375" style="3" customWidth="1"/>
    <col min="14892" max="14892" width="11" style="3" customWidth="1"/>
    <col min="14893" max="14894" width="9.140625" style="3"/>
    <col min="14895" max="14895" width="24.42578125" style="3" customWidth="1"/>
    <col min="14896" max="14896" width="18.5703125" style="3" customWidth="1"/>
    <col min="14897" max="14897" width="15.140625" style="3" customWidth="1"/>
    <col min="14898" max="14898" width="10.5703125" style="3" customWidth="1"/>
    <col min="14899" max="14899" width="11.140625" style="3" customWidth="1"/>
    <col min="14900" max="14900" width="25" style="3" customWidth="1"/>
    <col min="14901" max="14901" width="6" style="3" customWidth="1"/>
    <col min="14902" max="15105" width="9.140625" style="3"/>
    <col min="15106" max="15106" width="3.7109375" style="3" customWidth="1"/>
    <col min="15107" max="15107" width="2.28515625" style="3" customWidth="1"/>
    <col min="15108" max="15109" width="3.7109375" style="3" customWidth="1"/>
    <col min="15110" max="15110" width="2.28515625" style="3" customWidth="1"/>
    <col min="15111" max="15112" width="3.7109375" style="3" customWidth="1"/>
    <col min="15113" max="15113" width="2.28515625" style="3" customWidth="1"/>
    <col min="15114" max="15116" width="3.7109375" style="3" customWidth="1"/>
    <col min="15117" max="15117" width="2.28515625" style="3" customWidth="1"/>
    <col min="15118" max="15119" width="3.7109375" style="3" customWidth="1"/>
    <col min="15120" max="15120" width="2.28515625" style="3" customWidth="1"/>
    <col min="15121" max="15122" width="3.7109375" style="3" customWidth="1"/>
    <col min="15123" max="15123" width="2.28515625" style="3" customWidth="1"/>
    <col min="15124" max="15125" width="3.7109375" style="3" customWidth="1"/>
    <col min="15126" max="15126" width="2.28515625" style="3" customWidth="1"/>
    <col min="15127" max="15128" width="3.7109375" style="3" customWidth="1"/>
    <col min="15129" max="15129" width="2.28515625" style="3" customWidth="1"/>
    <col min="15130" max="15131" width="3.7109375" style="3" customWidth="1"/>
    <col min="15132" max="15132" width="2.28515625" style="3" customWidth="1"/>
    <col min="15133" max="15134" width="3.7109375" style="3" customWidth="1"/>
    <col min="15135" max="15135" width="2.28515625" style="3" customWidth="1"/>
    <col min="15136" max="15136" width="3.7109375" style="3" customWidth="1"/>
    <col min="15137" max="15137" width="9.7109375" style="3" customWidth="1"/>
    <col min="15138" max="15147" width="3.7109375" style="3" customWidth="1"/>
    <col min="15148" max="15148" width="11" style="3" customWidth="1"/>
    <col min="15149" max="15150" width="9.140625" style="3"/>
    <col min="15151" max="15151" width="24.42578125" style="3" customWidth="1"/>
    <col min="15152" max="15152" width="18.5703125" style="3" customWidth="1"/>
    <col min="15153" max="15153" width="15.140625" style="3" customWidth="1"/>
    <col min="15154" max="15154" width="10.5703125" style="3" customWidth="1"/>
    <col min="15155" max="15155" width="11.140625" style="3" customWidth="1"/>
    <col min="15156" max="15156" width="25" style="3" customWidth="1"/>
    <col min="15157" max="15157" width="6" style="3" customWidth="1"/>
    <col min="15158" max="15361" width="9.140625" style="3"/>
    <col min="15362" max="15362" width="3.7109375" style="3" customWidth="1"/>
    <col min="15363" max="15363" width="2.28515625" style="3" customWidth="1"/>
    <col min="15364" max="15365" width="3.7109375" style="3" customWidth="1"/>
    <col min="15366" max="15366" width="2.28515625" style="3" customWidth="1"/>
    <col min="15367" max="15368" width="3.7109375" style="3" customWidth="1"/>
    <col min="15369" max="15369" width="2.28515625" style="3" customWidth="1"/>
    <col min="15370" max="15372" width="3.7109375" style="3" customWidth="1"/>
    <col min="15373" max="15373" width="2.28515625" style="3" customWidth="1"/>
    <col min="15374" max="15375" width="3.7109375" style="3" customWidth="1"/>
    <col min="15376" max="15376" width="2.28515625" style="3" customWidth="1"/>
    <col min="15377" max="15378" width="3.7109375" style="3" customWidth="1"/>
    <col min="15379" max="15379" width="2.28515625" style="3" customWidth="1"/>
    <col min="15380" max="15381" width="3.7109375" style="3" customWidth="1"/>
    <col min="15382" max="15382" width="2.28515625" style="3" customWidth="1"/>
    <col min="15383" max="15384" width="3.7109375" style="3" customWidth="1"/>
    <col min="15385" max="15385" width="2.28515625" style="3" customWidth="1"/>
    <col min="15386" max="15387" width="3.7109375" style="3" customWidth="1"/>
    <col min="15388" max="15388" width="2.28515625" style="3" customWidth="1"/>
    <col min="15389" max="15390" width="3.7109375" style="3" customWidth="1"/>
    <col min="15391" max="15391" width="2.28515625" style="3" customWidth="1"/>
    <col min="15392" max="15392" width="3.7109375" style="3" customWidth="1"/>
    <col min="15393" max="15393" width="9.7109375" style="3" customWidth="1"/>
    <col min="15394" max="15403" width="3.7109375" style="3" customWidth="1"/>
    <col min="15404" max="15404" width="11" style="3" customWidth="1"/>
    <col min="15405" max="15406" width="9.140625" style="3"/>
    <col min="15407" max="15407" width="24.42578125" style="3" customWidth="1"/>
    <col min="15408" max="15408" width="18.5703125" style="3" customWidth="1"/>
    <col min="15409" max="15409" width="15.140625" style="3" customWidth="1"/>
    <col min="15410" max="15410" width="10.5703125" style="3" customWidth="1"/>
    <col min="15411" max="15411" width="11.140625" style="3" customWidth="1"/>
    <col min="15412" max="15412" width="25" style="3" customWidth="1"/>
    <col min="15413" max="15413" width="6" style="3" customWidth="1"/>
    <col min="15414" max="15617" width="9.140625" style="3"/>
    <col min="15618" max="15618" width="3.7109375" style="3" customWidth="1"/>
    <col min="15619" max="15619" width="2.28515625" style="3" customWidth="1"/>
    <col min="15620" max="15621" width="3.7109375" style="3" customWidth="1"/>
    <col min="15622" max="15622" width="2.28515625" style="3" customWidth="1"/>
    <col min="15623" max="15624" width="3.7109375" style="3" customWidth="1"/>
    <col min="15625" max="15625" width="2.28515625" style="3" customWidth="1"/>
    <col min="15626" max="15628" width="3.7109375" style="3" customWidth="1"/>
    <col min="15629" max="15629" width="2.28515625" style="3" customWidth="1"/>
    <col min="15630" max="15631" width="3.7109375" style="3" customWidth="1"/>
    <col min="15632" max="15632" width="2.28515625" style="3" customWidth="1"/>
    <col min="15633" max="15634" width="3.7109375" style="3" customWidth="1"/>
    <col min="15635" max="15635" width="2.28515625" style="3" customWidth="1"/>
    <col min="15636" max="15637" width="3.7109375" style="3" customWidth="1"/>
    <col min="15638" max="15638" width="2.28515625" style="3" customWidth="1"/>
    <col min="15639" max="15640" width="3.7109375" style="3" customWidth="1"/>
    <col min="15641" max="15641" width="2.28515625" style="3" customWidth="1"/>
    <col min="15642" max="15643" width="3.7109375" style="3" customWidth="1"/>
    <col min="15644" max="15644" width="2.28515625" style="3" customWidth="1"/>
    <col min="15645" max="15646" width="3.7109375" style="3" customWidth="1"/>
    <col min="15647" max="15647" width="2.28515625" style="3" customWidth="1"/>
    <col min="15648" max="15648" width="3.7109375" style="3" customWidth="1"/>
    <col min="15649" max="15649" width="9.7109375" style="3" customWidth="1"/>
    <col min="15650" max="15659" width="3.7109375" style="3" customWidth="1"/>
    <col min="15660" max="15660" width="11" style="3" customWidth="1"/>
    <col min="15661" max="15662" width="9.140625" style="3"/>
    <col min="15663" max="15663" width="24.42578125" style="3" customWidth="1"/>
    <col min="15664" max="15664" width="18.5703125" style="3" customWidth="1"/>
    <col min="15665" max="15665" width="15.140625" style="3" customWidth="1"/>
    <col min="15666" max="15666" width="10.5703125" style="3" customWidth="1"/>
    <col min="15667" max="15667" width="11.140625" style="3" customWidth="1"/>
    <col min="15668" max="15668" width="25" style="3" customWidth="1"/>
    <col min="15669" max="15669" width="6" style="3" customWidth="1"/>
    <col min="15670" max="15873" width="9.140625" style="3"/>
    <col min="15874" max="15874" width="3.7109375" style="3" customWidth="1"/>
    <col min="15875" max="15875" width="2.28515625" style="3" customWidth="1"/>
    <col min="15876" max="15877" width="3.7109375" style="3" customWidth="1"/>
    <col min="15878" max="15878" width="2.28515625" style="3" customWidth="1"/>
    <col min="15879" max="15880" width="3.7109375" style="3" customWidth="1"/>
    <col min="15881" max="15881" width="2.28515625" style="3" customWidth="1"/>
    <col min="15882" max="15884" width="3.7109375" style="3" customWidth="1"/>
    <col min="15885" max="15885" width="2.28515625" style="3" customWidth="1"/>
    <col min="15886" max="15887" width="3.7109375" style="3" customWidth="1"/>
    <col min="15888" max="15888" width="2.28515625" style="3" customWidth="1"/>
    <col min="15889" max="15890" width="3.7109375" style="3" customWidth="1"/>
    <col min="15891" max="15891" width="2.28515625" style="3" customWidth="1"/>
    <col min="15892" max="15893" width="3.7109375" style="3" customWidth="1"/>
    <col min="15894" max="15894" width="2.28515625" style="3" customWidth="1"/>
    <col min="15895" max="15896" width="3.7109375" style="3" customWidth="1"/>
    <col min="15897" max="15897" width="2.28515625" style="3" customWidth="1"/>
    <col min="15898" max="15899" width="3.7109375" style="3" customWidth="1"/>
    <col min="15900" max="15900" width="2.28515625" style="3" customWidth="1"/>
    <col min="15901" max="15902" width="3.7109375" style="3" customWidth="1"/>
    <col min="15903" max="15903" width="2.28515625" style="3" customWidth="1"/>
    <col min="15904" max="15904" width="3.7109375" style="3" customWidth="1"/>
    <col min="15905" max="15905" width="9.7109375" style="3" customWidth="1"/>
    <col min="15906" max="15915" width="3.7109375" style="3" customWidth="1"/>
    <col min="15916" max="15916" width="11" style="3" customWidth="1"/>
    <col min="15917" max="15918" width="9.140625" style="3"/>
    <col min="15919" max="15919" width="24.42578125" style="3" customWidth="1"/>
    <col min="15920" max="15920" width="18.5703125" style="3" customWidth="1"/>
    <col min="15921" max="15921" width="15.140625" style="3" customWidth="1"/>
    <col min="15922" max="15922" width="10.5703125" style="3" customWidth="1"/>
    <col min="15923" max="15923" width="11.140625" style="3" customWidth="1"/>
    <col min="15924" max="15924" width="25" style="3" customWidth="1"/>
    <col min="15925" max="15925" width="6" style="3" customWidth="1"/>
    <col min="15926" max="16129" width="9.140625" style="3"/>
    <col min="16130" max="16130" width="3.7109375" style="3" customWidth="1"/>
    <col min="16131" max="16131" width="2.28515625" style="3" customWidth="1"/>
    <col min="16132" max="16133" width="3.7109375" style="3" customWidth="1"/>
    <col min="16134" max="16134" width="2.28515625" style="3" customWidth="1"/>
    <col min="16135" max="16136" width="3.7109375" style="3" customWidth="1"/>
    <col min="16137" max="16137" width="2.28515625" style="3" customWidth="1"/>
    <col min="16138" max="16140" width="3.7109375" style="3" customWidth="1"/>
    <col min="16141" max="16141" width="2.28515625" style="3" customWidth="1"/>
    <col min="16142" max="16143" width="3.7109375" style="3" customWidth="1"/>
    <col min="16144" max="16144" width="2.28515625" style="3" customWidth="1"/>
    <col min="16145" max="16146" width="3.7109375" style="3" customWidth="1"/>
    <col min="16147" max="16147" width="2.28515625" style="3" customWidth="1"/>
    <col min="16148" max="16149" width="3.7109375" style="3" customWidth="1"/>
    <col min="16150" max="16150" width="2.28515625" style="3" customWidth="1"/>
    <col min="16151" max="16152" width="3.7109375" style="3" customWidth="1"/>
    <col min="16153" max="16153" width="2.28515625" style="3" customWidth="1"/>
    <col min="16154" max="16155" width="3.7109375" style="3" customWidth="1"/>
    <col min="16156" max="16156" width="2.28515625" style="3" customWidth="1"/>
    <col min="16157" max="16158" width="3.7109375" style="3" customWidth="1"/>
    <col min="16159" max="16159" width="2.28515625" style="3" customWidth="1"/>
    <col min="16160" max="16160" width="3.7109375" style="3" customWidth="1"/>
    <col min="16161" max="16161" width="9.7109375" style="3" customWidth="1"/>
    <col min="16162" max="16171" width="3.7109375" style="3" customWidth="1"/>
    <col min="16172" max="16172" width="11" style="3" customWidth="1"/>
    <col min="16173" max="16174" width="9.140625" style="3"/>
    <col min="16175" max="16175" width="24.42578125" style="3" customWidth="1"/>
    <col min="16176" max="16176" width="18.5703125" style="3" customWidth="1"/>
    <col min="16177" max="16177" width="15.140625" style="3" customWidth="1"/>
    <col min="16178" max="16178" width="10.5703125" style="3" customWidth="1"/>
    <col min="16179" max="16179" width="11.140625" style="3" customWidth="1"/>
    <col min="16180" max="16180" width="25" style="3" customWidth="1"/>
    <col min="16181" max="16181" width="6" style="3" customWidth="1"/>
    <col min="16182" max="16384" width="9.140625" style="3"/>
  </cols>
  <sheetData>
    <row r="1" spans="1:53" ht="13.5" thickBot="1">
      <c r="A1" s="523" t="s">
        <v>0</v>
      </c>
      <c r="B1" s="523"/>
      <c r="C1" s="523"/>
      <c r="D1" s="523"/>
      <c r="E1" s="523"/>
      <c r="F1" s="523"/>
      <c r="G1" s="523"/>
      <c r="H1" s="523"/>
      <c r="I1" s="523"/>
      <c r="J1" s="523"/>
      <c r="K1" s="523"/>
      <c r="L1" s="523"/>
      <c r="M1" s="523"/>
      <c r="N1" s="523"/>
      <c r="O1" s="523"/>
      <c r="P1" s="523"/>
      <c r="Q1" s="523"/>
      <c r="R1" s="523"/>
      <c r="S1" s="523"/>
      <c r="T1" s="523"/>
      <c r="U1" s="523"/>
      <c r="V1" s="523"/>
      <c r="W1" s="523"/>
      <c r="X1" s="523"/>
      <c r="Y1" s="523"/>
      <c r="Z1" s="523"/>
      <c r="AA1" s="523"/>
      <c r="AB1" s="523"/>
      <c r="AC1" s="523"/>
      <c r="AD1" s="523"/>
      <c r="AE1" s="523"/>
      <c r="AF1" s="523"/>
      <c r="AG1" s="523"/>
      <c r="AH1" s="523"/>
      <c r="AI1" s="523"/>
      <c r="AJ1" s="92"/>
      <c r="AK1" s="92"/>
      <c r="AL1" s="92"/>
      <c r="AM1" s="92"/>
      <c r="AN1" s="92"/>
      <c r="AO1" s="92"/>
      <c r="AP1" s="92"/>
      <c r="AQ1" s="222" t="s">
        <v>1249</v>
      </c>
      <c r="AR1" s="222" t="s">
        <v>1250</v>
      </c>
      <c r="AT1" s="753" t="s">
        <v>1</v>
      </c>
      <c r="AU1" s="754"/>
      <c r="AV1" s="754"/>
      <c r="AW1" s="755"/>
      <c r="AX1" s="524" t="s">
        <v>180</v>
      </c>
      <c r="AY1" s="525"/>
      <c r="AZ1" s="131" t="s">
        <v>181</v>
      </c>
      <c r="BA1" s="132">
        <v>32</v>
      </c>
    </row>
    <row r="2" spans="1:53" ht="18.75" customHeight="1" thickBot="1">
      <c r="A2" s="526" t="s">
        <v>2</v>
      </c>
      <c r="B2" s="527"/>
      <c r="C2" s="527"/>
      <c r="D2" s="527"/>
      <c r="E2" s="527"/>
      <c r="F2" s="527"/>
      <c r="G2" s="527"/>
      <c r="H2" s="527"/>
      <c r="I2" s="528"/>
      <c r="J2" s="249"/>
      <c r="K2" s="250"/>
      <c r="L2" s="250"/>
      <c r="M2" s="250"/>
      <c r="N2" s="250"/>
      <c r="O2" s="250"/>
      <c r="P2" s="250"/>
      <c r="Q2" s="250"/>
      <c r="R2" s="250"/>
      <c r="S2" s="250"/>
      <c r="T2" s="250"/>
      <c r="U2" s="250"/>
      <c r="V2" s="250"/>
      <c r="W2" s="250"/>
      <c r="X2" s="251"/>
      <c r="Y2" s="529" t="s">
        <v>3</v>
      </c>
      <c r="Z2" s="530"/>
      <c r="AA2" s="530"/>
      <c r="AB2" s="530"/>
      <c r="AC2" s="531"/>
      <c r="AD2" s="532"/>
      <c r="AE2" s="532"/>
      <c r="AF2" s="532"/>
      <c r="AG2" s="532"/>
      <c r="AH2" s="532"/>
      <c r="AI2" s="533"/>
      <c r="AJ2" s="534"/>
      <c r="AK2" s="534"/>
      <c r="AL2" s="534"/>
      <c r="AM2" s="534"/>
      <c r="AN2" s="534"/>
      <c r="AO2" s="534"/>
      <c r="AP2" s="534"/>
      <c r="AQ2" s="534"/>
      <c r="AR2" s="534"/>
      <c r="AT2" s="138" t="s">
        <v>4</v>
      </c>
      <c r="AU2" s="139" t="s">
        <v>5</v>
      </c>
      <c r="AV2" s="140" t="s">
        <v>6</v>
      </c>
      <c r="AW2" s="535" t="s">
        <v>183</v>
      </c>
      <c r="AX2" s="536" t="s">
        <v>184</v>
      </c>
      <c r="AY2" s="535" t="s">
        <v>7</v>
      </c>
      <c r="AZ2" s="131" t="s">
        <v>185</v>
      </c>
      <c r="BA2" s="132">
        <v>16</v>
      </c>
    </row>
    <row r="3" spans="1:53" ht="18.75" customHeight="1" thickBot="1">
      <c r="A3" s="537" t="s">
        <v>8</v>
      </c>
      <c r="B3" s="538"/>
      <c r="C3" s="539"/>
      <c r="D3" s="539"/>
      <c r="E3" s="539"/>
      <c r="F3" s="539"/>
      <c r="G3" s="539"/>
      <c r="H3" s="539"/>
      <c r="I3" s="539"/>
      <c r="J3" s="539"/>
      <c r="K3" s="539"/>
      <c r="L3" s="539"/>
      <c r="M3" s="539"/>
      <c r="N3" s="539"/>
      <c r="O3" s="540"/>
      <c r="P3" s="541" t="s">
        <v>9</v>
      </c>
      <c r="Q3" s="542"/>
      <c r="R3" s="542"/>
      <c r="S3" s="543"/>
      <c r="T3" s="544"/>
      <c r="U3" s="544"/>
      <c r="V3" s="544"/>
      <c r="W3" s="544"/>
      <c r="X3" s="545"/>
      <c r="Y3" s="546"/>
      <c r="Z3" s="547"/>
      <c r="AA3" s="547"/>
      <c r="AB3" s="547"/>
      <c r="AC3" s="548" t="s">
        <v>10</v>
      </c>
      <c r="AD3" s="549"/>
      <c r="AE3" s="549"/>
      <c r="AF3" s="550"/>
      <c r="AG3" s="551" t="s">
        <v>11</v>
      </c>
      <c r="AH3" s="258" t="s">
        <v>12</v>
      </c>
      <c r="AI3" s="259"/>
      <c r="AJ3" s="534"/>
      <c r="AK3" s="534"/>
      <c r="AL3" s="534"/>
      <c r="AM3" s="534"/>
      <c r="AN3" s="534"/>
      <c r="AO3" s="534"/>
      <c r="AP3" s="534"/>
      <c r="AQ3" s="534"/>
      <c r="AR3" s="534"/>
      <c r="AT3" s="141">
        <v>1</v>
      </c>
      <c r="AU3" s="142" t="s">
        <v>164</v>
      </c>
      <c r="AV3" s="143" t="s">
        <v>165</v>
      </c>
      <c r="AW3" s="488">
        <f>VLOOKUP(AV3,Initial!G:K,5,FALSE)</f>
        <v>1400</v>
      </c>
      <c r="AX3" s="552">
        <f>VLOOKUP(AU3,AT$79:AU$259,2,FALSE)</f>
        <v>1422.8576396200242</v>
      </c>
      <c r="AY3" s="756">
        <f t="shared" ref="AY3:AY13" si="0">IF(ISNA(VLOOKUP(AU3,AT$273:AU$373,2,FALSE)),AX3,VLOOKUP(AU3,AT$273:AU$373,2,FALSE))</f>
        <v>1422.8576396200242</v>
      </c>
    </row>
    <row r="4" spans="1:53" ht="24" customHeight="1" thickBot="1">
      <c r="A4" s="554" t="s">
        <v>13</v>
      </c>
      <c r="B4" s="555"/>
      <c r="C4" s="555"/>
      <c r="D4" s="556"/>
      <c r="E4" s="557"/>
      <c r="F4" s="558"/>
      <c r="G4" s="558"/>
      <c r="H4" s="558"/>
      <c r="I4" s="558"/>
      <c r="J4" s="558"/>
      <c r="K4" s="558"/>
      <c r="L4" s="558"/>
      <c r="M4" s="559"/>
      <c r="N4" s="554" t="s">
        <v>291</v>
      </c>
      <c r="O4" s="555"/>
      <c r="P4" s="555"/>
      <c r="Q4" s="556"/>
      <c r="R4" s="560"/>
      <c r="S4" s="532"/>
      <c r="T4" s="532"/>
      <c r="U4" s="532"/>
      <c r="V4" s="532"/>
      <c r="W4" s="532"/>
      <c r="X4" s="532"/>
      <c r="Y4" s="532"/>
      <c r="Z4" s="532"/>
      <c r="AA4" s="533"/>
      <c r="AB4" s="554" t="s">
        <v>14</v>
      </c>
      <c r="AC4" s="555"/>
      <c r="AD4" s="555"/>
      <c r="AE4" s="556"/>
      <c r="AF4" s="560"/>
      <c r="AG4" s="532"/>
      <c r="AH4" s="532"/>
      <c r="AI4" s="533"/>
      <c r="AJ4" s="534"/>
      <c r="AK4" s="534"/>
      <c r="AL4" s="534"/>
      <c r="AM4" s="534"/>
      <c r="AN4" s="534"/>
      <c r="AO4" s="534"/>
      <c r="AP4" s="534"/>
      <c r="AQ4" s="534"/>
      <c r="AR4" s="534"/>
      <c r="AT4" s="94">
        <v>2</v>
      </c>
      <c r="AU4" s="148" t="s">
        <v>167</v>
      </c>
      <c r="AV4" s="149" t="s">
        <v>168</v>
      </c>
      <c r="AW4" s="488">
        <f>VLOOKUP(AV4,Initial!G:K,5,FALSE)</f>
        <v>1400</v>
      </c>
      <c r="AX4" s="561">
        <f t="shared" ref="AX4:AX13" si="1">VLOOKUP(AU4,AT$79:AU$259,2,FALSE)</f>
        <v>1421.7808589388503</v>
      </c>
      <c r="AY4" s="553">
        <f t="shared" si="0"/>
        <v>1421.7808589388503</v>
      </c>
    </row>
    <row r="5" spans="1:53" ht="15.75" thickBot="1">
      <c r="A5" s="92" t="s">
        <v>15</v>
      </c>
      <c r="B5" s="292" t="s">
        <v>15</v>
      </c>
      <c r="C5" s="293"/>
      <c r="D5" s="293"/>
      <c r="E5" s="293"/>
      <c r="F5" s="293"/>
      <c r="G5" s="293"/>
      <c r="H5" s="293"/>
      <c r="I5" s="293"/>
      <c r="J5" s="293"/>
      <c r="K5" s="221"/>
      <c r="L5" s="294" t="s">
        <v>15</v>
      </c>
      <c r="M5" s="294"/>
      <c r="N5" s="294"/>
      <c r="O5" s="294"/>
      <c r="P5" s="294"/>
      <c r="Q5" s="294"/>
      <c r="R5" s="294"/>
      <c r="S5" s="294"/>
      <c r="T5" s="294"/>
      <c r="U5" s="294"/>
      <c r="V5" s="294"/>
      <c r="W5" s="294"/>
      <c r="X5" s="294"/>
      <c r="Y5" s="294"/>
      <c r="Z5" s="294"/>
      <c r="AA5" s="294"/>
      <c r="AB5" s="294"/>
      <c r="AC5" s="294"/>
      <c r="AD5" s="294"/>
      <c r="AE5" s="294"/>
      <c r="AF5" s="294"/>
      <c r="AG5" s="92"/>
      <c r="AH5" s="92"/>
      <c r="AI5" s="92"/>
      <c r="AJ5" s="92"/>
      <c r="AK5" s="92"/>
      <c r="AL5" s="92"/>
      <c r="AM5" s="92"/>
      <c r="AN5" s="92"/>
      <c r="AO5" s="92"/>
      <c r="AP5" s="92"/>
      <c r="AQ5" s="92"/>
      <c r="AR5" s="92"/>
      <c r="AT5" s="94">
        <v>3</v>
      </c>
      <c r="AU5" s="148" t="s">
        <v>170</v>
      </c>
      <c r="AV5" s="149" t="s">
        <v>171</v>
      </c>
      <c r="AW5" s="488">
        <f>VLOOKUP(AV5,Initial!G:K,5,FALSE)</f>
        <v>1266.6666666666667</v>
      </c>
      <c r="AX5" s="561">
        <f t="shared" si="1"/>
        <v>1240.6866470437872</v>
      </c>
      <c r="AY5" s="553">
        <f t="shared" si="0"/>
        <v>1240.6866470437872</v>
      </c>
    </row>
    <row r="6" spans="1:53" ht="24" customHeight="1" thickBot="1">
      <c r="A6" s="96" t="s">
        <v>16</v>
      </c>
      <c r="B6" s="150" t="s">
        <v>292</v>
      </c>
      <c r="C6" s="274" t="s">
        <v>188</v>
      </c>
      <c r="D6" s="275"/>
      <c r="E6" s="275"/>
      <c r="F6" s="275"/>
      <c r="G6" s="275"/>
      <c r="H6" s="276"/>
      <c r="I6" s="277">
        <v>1</v>
      </c>
      <c r="J6" s="278"/>
      <c r="K6" s="279" t="str">
        <f>"Pool "&amp;B6&amp;" - Round 1 - Court "&amp;I6</f>
        <v>Pool A - Round 1 - Court 1</v>
      </c>
      <c r="L6" s="280"/>
      <c r="M6" s="280"/>
      <c r="N6" s="280"/>
      <c r="O6" s="280"/>
      <c r="P6" s="280"/>
      <c r="Q6" s="280"/>
      <c r="R6" s="280"/>
      <c r="S6" s="280"/>
      <c r="T6" s="280"/>
      <c r="U6" s="280"/>
      <c r="V6" s="280"/>
      <c r="W6" s="280"/>
      <c r="X6" s="280"/>
      <c r="Y6" s="280"/>
      <c r="Z6" s="280"/>
      <c r="AA6" s="280"/>
      <c r="AB6" s="280"/>
      <c r="AC6" s="280"/>
      <c r="AD6" s="280"/>
      <c r="AE6" s="280"/>
      <c r="AF6" s="280"/>
      <c r="AG6" s="280"/>
      <c r="AH6" s="280"/>
      <c r="AI6" s="280"/>
      <c r="AJ6" s="281"/>
      <c r="AK6" s="534"/>
      <c r="AL6" s="534"/>
      <c r="AM6" s="534"/>
      <c r="AN6" s="534"/>
      <c r="AO6" s="534"/>
      <c r="AP6" s="534"/>
      <c r="AQ6" s="534"/>
      <c r="AR6" s="534"/>
      <c r="AT6" s="94">
        <v>4</v>
      </c>
      <c r="AU6" s="148" t="s">
        <v>127</v>
      </c>
      <c r="AV6" s="149" t="s">
        <v>128</v>
      </c>
      <c r="AW6" s="488">
        <f>VLOOKUP(AV6,Initial!G:K,5,FALSE)</f>
        <v>1200</v>
      </c>
      <c r="AX6" s="561">
        <f t="shared" si="1"/>
        <v>1192.7000067243928</v>
      </c>
      <c r="AY6" s="553">
        <f t="shared" si="0"/>
        <v>1192.7000067243928</v>
      </c>
    </row>
    <row r="7" spans="1:53" ht="27" customHeight="1" thickBot="1">
      <c r="A7" s="97" t="s">
        <v>17</v>
      </c>
      <c r="B7" s="282" t="s">
        <v>5</v>
      </c>
      <c r="C7" s="295"/>
      <c r="D7" s="295"/>
      <c r="E7" s="295"/>
      <c r="F7" s="295"/>
      <c r="G7" s="295"/>
      <c r="H7" s="295"/>
      <c r="I7" s="295"/>
      <c r="J7" s="295"/>
      <c r="K7" s="295"/>
      <c r="L7" s="295"/>
      <c r="M7" s="282" t="str">
        <f>IF($AL10=0,"Games Won","Matches Won")</f>
        <v>Matches Won</v>
      </c>
      <c r="N7" s="295"/>
      <c r="O7" s="295"/>
      <c r="P7" s="295"/>
      <c r="Q7" s="295"/>
      <c r="R7" s="297"/>
      <c r="S7" s="282" t="str">
        <f>IF($AL10=0,"Games Lost","Matches Lost")</f>
        <v>Matches Lost</v>
      </c>
      <c r="T7" s="299"/>
      <c r="U7" s="299"/>
      <c r="V7" s="299"/>
      <c r="W7" s="300"/>
      <c r="X7" s="301" t="s">
        <v>18</v>
      </c>
      <c r="Y7" s="302"/>
      <c r="Z7" s="303"/>
      <c r="AA7" s="301" t="s">
        <v>189</v>
      </c>
      <c r="AB7" s="302"/>
      <c r="AC7" s="303"/>
      <c r="AD7" s="312" t="s">
        <v>19</v>
      </c>
      <c r="AE7" s="313"/>
      <c r="AF7" s="314"/>
      <c r="AG7" s="98" t="s">
        <v>20</v>
      </c>
      <c r="AH7" s="151" t="s">
        <v>4</v>
      </c>
      <c r="AI7" s="315" t="s">
        <v>21</v>
      </c>
      <c r="AJ7" s="316"/>
      <c r="AK7" s="99"/>
      <c r="AL7" s="100">
        <v>1</v>
      </c>
      <c r="AM7" s="101" t="s">
        <v>22</v>
      </c>
      <c r="AN7" s="101"/>
      <c r="AO7" s="101"/>
      <c r="AP7" s="101"/>
      <c r="AQ7" s="101"/>
      <c r="AR7" s="101"/>
      <c r="AT7" s="94">
        <v>5</v>
      </c>
      <c r="AU7" s="148" t="s">
        <v>173</v>
      </c>
      <c r="AV7" s="149" t="s">
        <v>174</v>
      </c>
      <c r="AW7" s="488">
        <f>VLOOKUP(AV7,Initial!G:K,5,FALSE)</f>
        <v>1200</v>
      </c>
      <c r="AX7" s="561">
        <f t="shared" si="1"/>
        <v>1191.7380642227506</v>
      </c>
      <c r="AY7" s="553">
        <f t="shared" si="0"/>
        <v>1191.7380642227506</v>
      </c>
    </row>
    <row r="8" spans="1:53" ht="18.75" customHeight="1">
      <c r="A8" s="562" t="str">
        <f>IF($AL9&gt;0,"1","")</f>
        <v>1</v>
      </c>
      <c r="B8" s="319" t="s">
        <v>5</v>
      </c>
      <c r="C8" s="320"/>
      <c r="D8" s="321"/>
      <c r="E8" s="322" t="str">
        <f>AU3</f>
        <v>Magnum 12 Blue</v>
      </c>
      <c r="F8" s="323"/>
      <c r="G8" s="323"/>
      <c r="H8" s="323"/>
      <c r="I8" s="323"/>
      <c r="J8" s="323"/>
      <c r="K8" s="323"/>
      <c r="L8" s="324"/>
      <c r="M8" s="304">
        <f>IF($AL10=0,AG64,AG46)</f>
        <v>3</v>
      </c>
      <c r="N8" s="305"/>
      <c r="O8" s="305"/>
      <c r="P8" s="305"/>
      <c r="Q8" s="305"/>
      <c r="R8" s="297"/>
      <c r="S8" s="304">
        <f>IF($AL10=0,AH64,AH46)</f>
        <v>0</v>
      </c>
      <c r="T8" s="305"/>
      <c r="U8" s="305"/>
      <c r="V8" s="305"/>
      <c r="W8" s="305"/>
      <c r="X8" s="304">
        <f>AR24</f>
        <v>33</v>
      </c>
      <c r="Y8" s="305"/>
      <c r="Z8" s="305"/>
      <c r="AA8" s="563">
        <f>IF(AG58&gt;0,(AR24/AG58),0)</f>
        <v>0.46478873239436619</v>
      </c>
      <c r="AB8" s="564"/>
      <c r="AC8" s="564"/>
      <c r="AD8" s="565">
        <f>IF(AG72=0,0,(AG64/AG72))</f>
        <v>1</v>
      </c>
      <c r="AE8" s="566"/>
      <c r="AF8" s="567"/>
      <c r="AG8" s="331">
        <v>1</v>
      </c>
      <c r="AH8" s="331">
        <v>1</v>
      </c>
      <c r="AI8" s="333"/>
      <c r="AJ8" s="334"/>
      <c r="AK8" s="99"/>
      <c r="AL8" s="100">
        <v>6</v>
      </c>
      <c r="AM8" s="101" t="s">
        <v>23</v>
      </c>
      <c r="AN8" s="101"/>
      <c r="AO8" s="101"/>
      <c r="AP8" s="101"/>
      <c r="AQ8" s="101"/>
      <c r="AR8" s="101"/>
      <c r="AT8" s="94">
        <v>6</v>
      </c>
      <c r="AU8" s="148" t="s">
        <v>88</v>
      </c>
      <c r="AV8" s="149" t="s">
        <v>95</v>
      </c>
      <c r="AW8" s="488">
        <f>VLOOKUP(AV8,Initial!G:K,5,FALSE)</f>
        <v>1200</v>
      </c>
      <c r="AX8" s="561">
        <f t="shared" si="1"/>
        <v>1222.6612835415767</v>
      </c>
      <c r="AY8" s="553">
        <f t="shared" si="0"/>
        <v>1222.6612835415767</v>
      </c>
    </row>
    <row r="9" spans="1:53" ht="18.75" customHeight="1" thickBot="1">
      <c r="A9" s="568"/>
      <c r="B9" s="337" t="s">
        <v>6</v>
      </c>
      <c r="C9" s="338"/>
      <c r="D9" s="339"/>
      <c r="E9" s="340" t="str">
        <f>AV3</f>
        <v>fj2magnm4pm</v>
      </c>
      <c r="F9" s="341"/>
      <c r="G9" s="341"/>
      <c r="H9" s="341"/>
      <c r="I9" s="341"/>
      <c r="J9" s="341"/>
      <c r="K9" s="341"/>
      <c r="L9" s="341"/>
      <c r="M9" s="306"/>
      <c r="N9" s="307"/>
      <c r="O9" s="307"/>
      <c r="P9" s="307"/>
      <c r="Q9" s="307"/>
      <c r="R9" s="297"/>
      <c r="S9" s="306"/>
      <c r="T9" s="307"/>
      <c r="U9" s="307"/>
      <c r="V9" s="307"/>
      <c r="W9" s="307"/>
      <c r="X9" s="306"/>
      <c r="Y9" s="307"/>
      <c r="Z9" s="307"/>
      <c r="AA9" s="569"/>
      <c r="AB9" s="570"/>
      <c r="AC9" s="570"/>
      <c r="AD9" s="571"/>
      <c r="AE9" s="572"/>
      <c r="AF9" s="573"/>
      <c r="AG9" s="332"/>
      <c r="AH9" s="332"/>
      <c r="AI9" s="335"/>
      <c r="AJ9" s="336"/>
      <c r="AK9" s="99"/>
      <c r="AL9" s="100">
        <v>4</v>
      </c>
      <c r="AM9" s="101" t="s">
        <v>190</v>
      </c>
      <c r="AN9" s="99"/>
      <c r="AO9" s="99"/>
      <c r="AP9" s="99"/>
      <c r="AQ9" s="99"/>
      <c r="AR9" s="99"/>
      <c r="AT9" s="94">
        <v>7</v>
      </c>
      <c r="AU9" s="148" t="s">
        <v>148</v>
      </c>
      <c r="AV9" s="149" t="s">
        <v>149</v>
      </c>
      <c r="AW9" s="488">
        <f>VLOOKUP(AV9,Initial!G:K,5,FALSE)</f>
        <v>1200</v>
      </c>
      <c r="AX9" s="561">
        <f t="shared" si="1"/>
        <v>1193.0947726176266</v>
      </c>
      <c r="AY9" s="553">
        <f t="shared" si="0"/>
        <v>1193.0947726176266</v>
      </c>
    </row>
    <row r="10" spans="1:53" ht="18.75" customHeight="1">
      <c r="A10" s="562" t="str">
        <f>IF($AL9&gt;1,"2","")</f>
        <v>2</v>
      </c>
      <c r="B10" s="319" t="s">
        <v>5</v>
      </c>
      <c r="C10" s="320"/>
      <c r="D10" s="321"/>
      <c r="E10" s="322" t="str">
        <f>AU8</f>
        <v>SC Midlands KP Garnet</v>
      </c>
      <c r="F10" s="323"/>
      <c r="G10" s="323"/>
      <c r="H10" s="323"/>
      <c r="I10" s="323"/>
      <c r="J10" s="323"/>
      <c r="K10" s="323"/>
      <c r="L10" s="324"/>
      <c r="M10" s="304">
        <f>IF($AL10=0,AG65,AG47)</f>
        <v>2</v>
      </c>
      <c r="N10" s="305"/>
      <c r="O10" s="305"/>
      <c r="P10" s="305"/>
      <c r="Q10" s="305"/>
      <c r="R10" s="297"/>
      <c r="S10" s="304">
        <f>IF($AL10=0,AH65,AH47)</f>
        <v>1</v>
      </c>
      <c r="T10" s="305"/>
      <c r="U10" s="305"/>
      <c r="V10" s="305"/>
      <c r="W10" s="305"/>
      <c r="X10" s="304">
        <f>AR25</f>
        <v>10</v>
      </c>
      <c r="Y10" s="305"/>
      <c r="Z10" s="305"/>
      <c r="AA10" s="563">
        <f>IF(AG59&gt;0,(AR25/AG59),0)</f>
        <v>0.12820512820512819</v>
      </c>
      <c r="AB10" s="564"/>
      <c r="AC10" s="564"/>
      <c r="AD10" s="565">
        <f>IF(AG73=0,0,(AG65/AG73))</f>
        <v>0.66666666666666663</v>
      </c>
      <c r="AE10" s="566"/>
      <c r="AF10" s="567"/>
      <c r="AG10" s="331">
        <v>2</v>
      </c>
      <c r="AH10" s="331">
        <v>1</v>
      </c>
      <c r="AI10" s="333"/>
      <c r="AJ10" s="334"/>
      <c r="AK10" s="99"/>
      <c r="AL10" s="100">
        <v>1</v>
      </c>
      <c r="AM10" s="101" t="s">
        <v>24</v>
      </c>
      <c r="AN10" s="101"/>
      <c r="AO10" s="101"/>
      <c r="AP10" s="101"/>
      <c r="AQ10" s="101"/>
      <c r="AR10" s="101"/>
      <c r="AT10" s="94">
        <v>8</v>
      </c>
      <c r="AU10" s="148" t="s">
        <v>131</v>
      </c>
      <c r="AV10" s="149" t="s">
        <v>94</v>
      </c>
      <c r="AW10" s="488">
        <f>VLOOKUP(AV10,Initial!G:K,5,FALSE)</f>
        <v>1200</v>
      </c>
      <c r="AX10" s="561">
        <f t="shared" si="1"/>
        <v>1162.564148165184</v>
      </c>
      <c r="AY10" s="553">
        <f t="shared" si="0"/>
        <v>1162.564148165184</v>
      </c>
    </row>
    <row r="11" spans="1:53" ht="18.75" customHeight="1" thickBot="1">
      <c r="A11" s="568"/>
      <c r="B11" s="342" t="s">
        <v>6</v>
      </c>
      <c r="C11" s="343"/>
      <c r="D11" s="343"/>
      <c r="E11" s="340" t="str">
        <f>AV8</f>
        <v>fj1scmid2pm</v>
      </c>
      <c r="F11" s="341"/>
      <c r="G11" s="341"/>
      <c r="H11" s="341"/>
      <c r="I11" s="341"/>
      <c r="J11" s="341"/>
      <c r="K11" s="341"/>
      <c r="L11" s="341"/>
      <c r="M11" s="306"/>
      <c r="N11" s="307"/>
      <c r="O11" s="307"/>
      <c r="P11" s="307"/>
      <c r="Q11" s="307"/>
      <c r="R11" s="297"/>
      <c r="S11" s="306"/>
      <c r="T11" s="307"/>
      <c r="U11" s="307"/>
      <c r="V11" s="307"/>
      <c r="W11" s="307"/>
      <c r="X11" s="306"/>
      <c r="Y11" s="307"/>
      <c r="Z11" s="307"/>
      <c r="AA11" s="569"/>
      <c r="AB11" s="570"/>
      <c r="AC11" s="570"/>
      <c r="AD11" s="571"/>
      <c r="AE11" s="572"/>
      <c r="AF11" s="573"/>
      <c r="AG11" s="332"/>
      <c r="AH11" s="332"/>
      <c r="AI11" s="335"/>
      <c r="AJ11" s="336"/>
      <c r="AK11" s="99"/>
      <c r="AL11" s="100">
        <v>1</v>
      </c>
      <c r="AM11" s="101" t="s">
        <v>25</v>
      </c>
      <c r="AN11" s="99"/>
      <c r="AO11" s="99"/>
      <c r="AP11" s="99"/>
      <c r="AQ11" s="99"/>
      <c r="AR11" s="99"/>
      <c r="AT11" s="94">
        <v>9</v>
      </c>
      <c r="AU11" s="148" t="s">
        <v>143</v>
      </c>
      <c r="AV11" s="149" t="s">
        <v>144</v>
      </c>
      <c r="AW11" s="488">
        <f>VLOOKUP(AV11,Initial!G:K,5,FALSE)</f>
        <v>1400</v>
      </c>
      <c r="AX11" s="561">
        <f t="shared" si="1"/>
        <v>1433.2800128984868</v>
      </c>
      <c r="AY11" s="553">
        <f t="shared" si="0"/>
        <v>1433.2800128984868</v>
      </c>
    </row>
    <row r="12" spans="1:53" ht="18.75" customHeight="1">
      <c r="A12" s="562" t="str">
        <f>IF($AL9&gt;2,"3","")</f>
        <v>3</v>
      </c>
      <c r="B12" s="344" t="s">
        <v>5</v>
      </c>
      <c r="C12" s="345"/>
      <c r="D12" s="345"/>
      <c r="E12" s="322" t="str">
        <f>AU9</f>
        <v>Intense kids power col</v>
      </c>
      <c r="F12" s="323"/>
      <c r="G12" s="323"/>
      <c r="H12" s="323"/>
      <c r="I12" s="323"/>
      <c r="J12" s="323"/>
      <c r="K12" s="323"/>
      <c r="L12" s="324"/>
      <c r="M12" s="304">
        <f>IF($AL10=0,AG66,AG48)</f>
        <v>1</v>
      </c>
      <c r="N12" s="305"/>
      <c r="O12" s="305"/>
      <c r="P12" s="305"/>
      <c r="Q12" s="305"/>
      <c r="R12" s="297"/>
      <c r="S12" s="304">
        <f>IF($AL10=0,AH66,AH48)</f>
        <v>2</v>
      </c>
      <c r="T12" s="305"/>
      <c r="U12" s="305"/>
      <c r="V12" s="305"/>
      <c r="W12" s="305"/>
      <c r="X12" s="304">
        <f>AR26</f>
        <v>-8</v>
      </c>
      <c r="Y12" s="305"/>
      <c r="Z12" s="305"/>
      <c r="AA12" s="563">
        <f>IF(AG60&gt;0,(AR26/AG60),0)</f>
        <v>-0.11428571428571428</v>
      </c>
      <c r="AB12" s="564"/>
      <c r="AC12" s="564"/>
      <c r="AD12" s="565">
        <f>IF(AG74=0,0,(AG66/AG74))</f>
        <v>0.33333333333333331</v>
      </c>
      <c r="AE12" s="566"/>
      <c r="AF12" s="567"/>
      <c r="AG12" s="331">
        <v>3</v>
      </c>
      <c r="AH12" s="331">
        <v>1</v>
      </c>
      <c r="AI12" s="333"/>
      <c r="AJ12" s="334"/>
      <c r="AK12" s="103"/>
      <c r="AL12" s="100">
        <v>3</v>
      </c>
      <c r="AM12" s="152" t="s">
        <v>191</v>
      </c>
      <c r="AN12" s="101"/>
      <c r="AO12" s="101"/>
      <c r="AP12" s="101"/>
      <c r="AQ12" s="101"/>
      <c r="AR12" s="101"/>
      <c r="AT12" s="94">
        <v>10</v>
      </c>
      <c r="AU12" s="148" t="s">
        <v>299</v>
      </c>
      <c r="AV12" s="149" t="s">
        <v>300</v>
      </c>
      <c r="AW12" s="488">
        <f>VLOOKUP(AV12,Initial!G:K,5,FALSE)</f>
        <v>1200</v>
      </c>
      <c r="AX12" s="561">
        <f t="shared" si="1"/>
        <v>1223.9169286732151</v>
      </c>
      <c r="AY12" s="553">
        <f t="shared" si="0"/>
        <v>1223.9169286732151</v>
      </c>
    </row>
    <row r="13" spans="1:53" ht="18.75" customHeight="1" thickBot="1">
      <c r="A13" s="568"/>
      <c r="B13" s="342" t="s">
        <v>6</v>
      </c>
      <c r="C13" s="343"/>
      <c r="D13" s="343"/>
      <c r="E13" s="340" t="str">
        <f>AV9</f>
        <v>fj2inten3pm</v>
      </c>
      <c r="F13" s="341"/>
      <c r="G13" s="341"/>
      <c r="H13" s="341"/>
      <c r="I13" s="341"/>
      <c r="J13" s="341"/>
      <c r="K13" s="341"/>
      <c r="L13" s="341"/>
      <c r="M13" s="306"/>
      <c r="N13" s="307"/>
      <c r="O13" s="307"/>
      <c r="P13" s="307"/>
      <c r="Q13" s="307"/>
      <c r="R13" s="297"/>
      <c r="S13" s="306"/>
      <c r="T13" s="307"/>
      <c r="U13" s="307"/>
      <c r="V13" s="307"/>
      <c r="W13" s="307"/>
      <c r="X13" s="306"/>
      <c r="Y13" s="307"/>
      <c r="Z13" s="307"/>
      <c r="AA13" s="569"/>
      <c r="AB13" s="570"/>
      <c r="AC13" s="570"/>
      <c r="AD13" s="571"/>
      <c r="AE13" s="572"/>
      <c r="AF13" s="573"/>
      <c r="AG13" s="332"/>
      <c r="AH13" s="332"/>
      <c r="AI13" s="335"/>
      <c r="AJ13" s="336"/>
      <c r="AK13" s="103"/>
      <c r="AL13" s="153"/>
      <c r="AM13" s="154"/>
      <c r="AN13" s="154"/>
      <c r="AO13" s="154"/>
      <c r="AP13" s="154"/>
      <c r="AQ13" s="154"/>
      <c r="AR13" s="99"/>
      <c r="AT13" s="94">
        <v>11</v>
      </c>
      <c r="AU13" s="148" t="s">
        <v>304</v>
      </c>
      <c r="AV13" s="149" t="s">
        <v>305</v>
      </c>
      <c r="AW13" s="488">
        <f>VLOOKUP(AV13,Initial!G:K,5,FALSE)</f>
        <v>1200</v>
      </c>
      <c r="AX13" s="561">
        <f t="shared" si="1"/>
        <v>1161.3863042207724</v>
      </c>
      <c r="AY13" s="553">
        <f t="shared" si="0"/>
        <v>1161.3863042207724</v>
      </c>
    </row>
    <row r="14" spans="1:53" ht="18.75" customHeight="1">
      <c r="A14" s="562" t="str">
        <f>IF($AL9&gt;3,"4","")</f>
        <v>4</v>
      </c>
      <c r="B14" s="344" t="s">
        <v>5</v>
      </c>
      <c r="C14" s="345"/>
      <c r="D14" s="345"/>
      <c r="E14" s="322" t="str">
        <f>AU13</f>
        <v>Foothills Skylar</v>
      </c>
      <c r="F14" s="323"/>
      <c r="G14" s="323"/>
      <c r="H14" s="323"/>
      <c r="I14" s="323"/>
      <c r="J14" s="323"/>
      <c r="K14" s="323"/>
      <c r="L14" s="324"/>
      <c r="M14" s="304">
        <f>IF($AL10=0,AG67,AG49)</f>
        <v>0</v>
      </c>
      <c r="N14" s="305"/>
      <c r="O14" s="305"/>
      <c r="P14" s="305"/>
      <c r="Q14" s="305"/>
      <c r="R14" s="297"/>
      <c r="S14" s="304">
        <f>IF($AL10=0,AH67,AH49)</f>
        <v>3</v>
      </c>
      <c r="T14" s="305"/>
      <c r="U14" s="305"/>
      <c r="V14" s="305"/>
      <c r="W14" s="305"/>
      <c r="X14" s="304">
        <f>AR27</f>
        <v>-35</v>
      </c>
      <c r="Y14" s="305"/>
      <c r="Z14" s="305"/>
      <c r="AA14" s="563">
        <f>IF(AG61&gt;0,(AR27/AG61),0)</f>
        <v>-0.45454545454545453</v>
      </c>
      <c r="AB14" s="564"/>
      <c r="AC14" s="564"/>
      <c r="AD14" s="565">
        <f>IF(AG75=0,0,(AG67/AG75))</f>
        <v>0</v>
      </c>
      <c r="AE14" s="566"/>
      <c r="AF14" s="567"/>
      <c r="AG14" s="331">
        <v>4</v>
      </c>
      <c r="AH14" s="331">
        <v>1</v>
      </c>
      <c r="AI14" s="333"/>
      <c r="AJ14" s="334"/>
      <c r="AK14" s="534"/>
      <c r="AL14" s="154"/>
      <c r="AM14" s="154"/>
      <c r="AN14" s="154"/>
      <c r="AO14" s="154"/>
      <c r="AP14" s="154"/>
      <c r="AQ14" s="154"/>
      <c r="AR14" s="101"/>
      <c r="AT14" s="574"/>
      <c r="AU14" s="575"/>
      <c r="AV14" s="576"/>
      <c r="AW14" s="576"/>
      <c r="AX14" s="577"/>
      <c r="AY14" s="578"/>
    </row>
    <row r="15" spans="1:53" ht="18.75" customHeight="1" thickBot="1">
      <c r="A15" s="568"/>
      <c r="B15" s="342" t="s">
        <v>6</v>
      </c>
      <c r="C15" s="343"/>
      <c r="D15" s="343"/>
      <c r="E15" s="340" t="str">
        <f>AV13</f>
        <v>fj2footh3pm</v>
      </c>
      <c r="F15" s="341"/>
      <c r="G15" s="341"/>
      <c r="H15" s="341"/>
      <c r="I15" s="341"/>
      <c r="J15" s="341"/>
      <c r="K15" s="341"/>
      <c r="L15" s="341"/>
      <c r="M15" s="306"/>
      <c r="N15" s="307"/>
      <c r="O15" s="307"/>
      <c r="P15" s="307"/>
      <c r="Q15" s="307"/>
      <c r="R15" s="297"/>
      <c r="S15" s="306"/>
      <c r="T15" s="307"/>
      <c r="U15" s="307"/>
      <c r="V15" s="307"/>
      <c r="W15" s="307"/>
      <c r="X15" s="306"/>
      <c r="Y15" s="307"/>
      <c r="Z15" s="307"/>
      <c r="AA15" s="569"/>
      <c r="AB15" s="570"/>
      <c r="AC15" s="570"/>
      <c r="AD15" s="571"/>
      <c r="AE15" s="572"/>
      <c r="AF15" s="573"/>
      <c r="AG15" s="332"/>
      <c r="AH15" s="332"/>
      <c r="AI15" s="335"/>
      <c r="AJ15" s="336"/>
      <c r="AK15" s="534"/>
      <c r="AL15" s="154"/>
      <c r="AM15" s="154"/>
      <c r="AN15" s="154"/>
      <c r="AO15" s="154"/>
      <c r="AP15" s="154"/>
      <c r="AQ15" s="154"/>
      <c r="AR15" s="534"/>
      <c r="AT15" s="574"/>
      <c r="AU15" s="575"/>
      <c r="AV15" s="576"/>
      <c r="AW15" s="576"/>
      <c r="AX15" s="577"/>
      <c r="AY15" s="578"/>
    </row>
    <row r="16" spans="1:53" ht="18.75" customHeight="1">
      <c r="A16" s="562" t="str">
        <f>IF($AL9&gt;4,"5","")</f>
        <v/>
      </c>
      <c r="B16" s="344" t="s">
        <v>5</v>
      </c>
      <c r="C16" s="345"/>
      <c r="D16" s="345"/>
      <c r="E16" s="346">
        <f>AU15</f>
        <v>0</v>
      </c>
      <c r="F16" s="347"/>
      <c r="G16" s="347"/>
      <c r="H16" s="347"/>
      <c r="I16" s="347"/>
      <c r="J16" s="347"/>
      <c r="K16" s="347"/>
      <c r="L16" s="348"/>
      <c r="M16" s="304">
        <f>IF($AL10=0,AG68,AG50)</f>
        <v>0</v>
      </c>
      <c r="N16" s="305"/>
      <c r="O16" s="305"/>
      <c r="P16" s="305"/>
      <c r="Q16" s="305"/>
      <c r="R16" s="297"/>
      <c r="S16" s="304">
        <f>IF($AL10=0,AH68,AH50)</f>
        <v>0</v>
      </c>
      <c r="T16" s="305"/>
      <c r="U16" s="305"/>
      <c r="V16" s="305"/>
      <c r="W16" s="305"/>
      <c r="X16" s="304">
        <f>AR28</f>
        <v>0</v>
      </c>
      <c r="Y16" s="305"/>
      <c r="Z16" s="305"/>
      <c r="AA16" s="563">
        <f>IF(AG62&gt;0,(AR28/AG62),0)</f>
        <v>0</v>
      </c>
      <c r="AB16" s="564"/>
      <c r="AC16" s="564"/>
      <c r="AD16" s="565">
        <f>IF(AG76=0,0,(AG68/AG76))</f>
        <v>0</v>
      </c>
      <c r="AE16" s="566"/>
      <c r="AF16" s="567"/>
      <c r="AG16" s="331"/>
      <c r="AH16" s="331"/>
      <c r="AI16" s="333"/>
      <c r="AJ16" s="334"/>
      <c r="AK16" s="534"/>
      <c r="AL16" s="154"/>
      <c r="AM16" s="154"/>
      <c r="AN16" s="154"/>
      <c r="AO16" s="154"/>
      <c r="AP16" s="154"/>
      <c r="AQ16" s="154"/>
      <c r="AR16" s="534"/>
      <c r="AT16" s="574"/>
      <c r="AU16" s="575"/>
      <c r="AV16" s="576"/>
      <c r="AW16" s="576"/>
      <c r="AX16" s="577"/>
      <c r="AY16" s="578"/>
    </row>
    <row r="17" spans="1:51" ht="18.75" customHeight="1" thickBot="1">
      <c r="A17" s="568"/>
      <c r="B17" s="359" t="s">
        <v>6</v>
      </c>
      <c r="C17" s="360"/>
      <c r="D17" s="360"/>
      <c r="E17" s="361">
        <f>AV15</f>
        <v>0</v>
      </c>
      <c r="F17" s="362"/>
      <c r="G17" s="362"/>
      <c r="H17" s="362"/>
      <c r="I17" s="362"/>
      <c r="J17" s="362"/>
      <c r="K17" s="362"/>
      <c r="L17" s="362"/>
      <c r="M17" s="349"/>
      <c r="N17" s="350"/>
      <c r="O17" s="350"/>
      <c r="P17" s="350"/>
      <c r="Q17" s="350"/>
      <c r="R17" s="297"/>
      <c r="S17" s="306"/>
      <c r="T17" s="307"/>
      <c r="U17" s="307"/>
      <c r="V17" s="307"/>
      <c r="W17" s="307"/>
      <c r="X17" s="306"/>
      <c r="Y17" s="307"/>
      <c r="Z17" s="307"/>
      <c r="AA17" s="569"/>
      <c r="AB17" s="570"/>
      <c r="AC17" s="570"/>
      <c r="AD17" s="571"/>
      <c r="AE17" s="572"/>
      <c r="AF17" s="573"/>
      <c r="AG17" s="332"/>
      <c r="AH17" s="356"/>
      <c r="AI17" s="335"/>
      <c r="AJ17" s="336"/>
      <c r="AK17" s="534"/>
      <c r="AL17" s="154"/>
      <c r="AM17" s="154"/>
      <c r="AN17" s="154"/>
      <c r="AO17" s="154"/>
      <c r="AP17" s="154"/>
      <c r="AQ17" s="154"/>
      <c r="AR17" s="534"/>
      <c r="AT17" s="155"/>
      <c r="AU17" s="156"/>
      <c r="AV17" s="157"/>
      <c r="AW17" s="157"/>
      <c r="AX17" s="158"/>
      <c r="AY17" s="159"/>
    </row>
    <row r="18" spans="1:51" ht="21" customHeight="1" thickTop="1" thickBot="1">
      <c r="A18" s="106"/>
      <c r="B18" s="363" t="s">
        <v>1251</v>
      </c>
      <c r="C18" s="364"/>
      <c r="D18" s="364"/>
      <c r="E18" s="364"/>
      <c r="F18" s="364"/>
      <c r="G18" s="364"/>
      <c r="H18" s="364"/>
      <c r="I18" s="364"/>
      <c r="J18" s="364"/>
      <c r="K18" s="364"/>
      <c r="L18" s="364"/>
      <c r="M18" s="364"/>
      <c r="N18" s="364"/>
      <c r="O18" s="364"/>
      <c r="P18" s="364"/>
      <c r="Q18" s="364"/>
      <c r="R18" s="364"/>
      <c r="S18" s="364"/>
      <c r="T18" s="364"/>
      <c r="U18" s="364"/>
      <c r="V18" s="364"/>
      <c r="W18" s="364"/>
      <c r="X18" s="364"/>
      <c r="Y18" s="364"/>
      <c r="Z18" s="364"/>
      <c r="AA18" s="364"/>
      <c r="AB18" s="364"/>
      <c r="AC18" s="364"/>
      <c r="AD18" s="364"/>
      <c r="AE18" s="364"/>
      <c r="AF18" s="364"/>
      <c r="AG18" s="364"/>
      <c r="AH18" s="364"/>
      <c r="AI18" s="364"/>
      <c r="AJ18" s="365"/>
      <c r="AK18" s="534"/>
      <c r="AL18" s="154"/>
      <c r="AM18" s="154"/>
      <c r="AN18" s="154"/>
      <c r="AO18" s="154"/>
      <c r="AP18" s="154"/>
      <c r="AQ18" s="154"/>
      <c r="AR18" s="534"/>
      <c r="AT18" s="366" t="s">
        <v>26</v>
      </c>
      <c r="AU18" s="367"/>
      <c r="AV18" s="367"/>
      <c r="AW18" s="367"/>
      <c r="AX18" s="367"/>
      <c r="AY18" s="368"/>
    </row>
    <row r="19" spans="1:51" ht="14.25" thickTop="1" thickBot="1">
      <c r="A19" s="3" t="s">
        <v>27</v>
      </c>
      <c r="B19" s="372">
        <v>0.35416666666666669</v>
      </c>
      <c r="C19" s="373"/>
      <c r="D19" s="374"/>
      <c r="E19" s="372">
        <v>0.39583333333333331</v>
      </c>
      <c r="F19" s="373"/>
      <c r="G19" s="374"/>
      <c r="H19" s="372">
        <v>0.4375</v>
      </c>
      <c r="I19" s="373"/>
      <c r="J19" s="374"/>
      <c r="K19" s="579"/>
      <c r="L19" s="372">
        <v>0.47916666666666669</v>
      </c>
      <c r="M19" s="373"/>
      <c r="N19" s="374"/>
      <c r="O19" s="372">
        <v>0.52083333333333337</v>
      </c>
      <c r="P19" s="373"/>
      <c r="Q19" s="374"/>
      <c r="R19" s="372">
        <v>6.25E-2</v>
      </c>
      <c r="S19" s="373"/>
      <c r="T19" s="374"/>
      <c r="U19" s="372"/>
      <c r="V19" s="373"/>
      <c r="W19" s="374"/>
      <c r="X19" s="372"/>
      <c r="Y19" s="373"/>
      <c r="Z19" s="374"/>
      <c r="AA19" s="372"/>
      <c r="AB19" s="373"/>
      <c r="AC19" s="374"/>
      <c r="AD19" s="372"/>
      <c r="AE19" s="373"/>
      <c r="AF19" s="374"/>
      <c r="AG19" s="375" t="s">
        <v>199</v>
      </c>
      <c r="AH19" s="376"/>
      <c r="AI19" s="376"/>
      <c r="AJ19" s="376"/>
      <c r="AK19" s="377"/>
      <c r="AL19" s="377"/>
      <c r="AM19" s="377"/>
      <c r="AN19" s="377"/>
      <c r="AO19" s="377"/>
      <c r="AP19" s="377"/>
      <c r="AQ19" s="377"/>
      <c r="AR19" s="378"/>
      <c r="AT19" s="369"/>
      <c r="AU19" s="370"/>
      <c r="AV19" s="370"/>
      <c r="AW19" s="370"/>
      <c r="AX19" s="370"/>
      <c r="AY19" s="371"/>
    </row>
    <row r="20" spans="1:51">
      <c r="A20" s="107" t="s">
        <v>28</v>
      </c>
      <c r="B20" s="383"/>
      <c r="C20" s="384"/>
      <c r="D20" s="385"/>
      <c r="E20" s="383"/>
      <c r="F20" s="384"/>
      <c r="G20" s="385"/>
      <c r="H20" s="383"/>
      <c r="I20" s="384"/>
      <c r="J20" s="385"/>
      <c r="K20" s="580"/>
      <c r="L20" s="383"/>
      <c r="M20" s="384"/>
      <c r="N20" s="385"/>
      <c r="O20" s="383"/>
      <c r="P20" s="384"/>
      <c r="Q20" s="385"/>
      <c r="R20" s="383"/>
      <c r="S20" s="384"/>
      <c r="T20" s="385"/>
      <c r="U20" s="383"/>
      <c r="V20" s="384"/>
      <c r="W20" s="385"/>
      <c r="X20" s="383"/>
      <c r="Y20" s="384"/>
      <c r="Z20" s="385"/>
      <c r="AA20" s="383"/>
      <c r="AB20" s="384"/>
      <c r="AC20" s="385"/>
      <c r="AD20" s="383"/>
      <c r="AE20" s="384"/>
      <c r="AF20" s="385"/>
      <c r="AG20" s="375"/>
      <c r="AH20" s="376"/>
      <c r="AI20" s="376"/>
      <c r="AJ20" s="376"/>
      <c r="AK20" s="376"/>
      <c r="AL20" s="376"/>
      <c r="AM20" s="376"/>
      <c r="AN20" s="376"/>
      <c r="AO20" s="376"/>
      <c r="AP20" s="376"/>
      <c r="AQ20" s="376"/>
      <c r="AR20" s="379"/>
      <c r="AW20" s="3"/>
    </row>
    <row r="21" spans="1:51">
      <c r="A21" s="107" t="s">
        <v>29</v>
      </c>
      <c r="B21" s="383"/>
      <c r="C21" s="384"/>
      <c r="D21" s="385"/>
      <c r="E21" s="383"/>
      <c r="F21" s="384"/>
      <c r="G21" s="385"/>
      <c r="H21" s="383"/>
      <c r="I21" s="384"/>
      <c r="J21" s="385"/>
      <c r="K21" s="580"/>
      <c r="L21" s="383"/>
      <c r="M21" s="384"/>
      <c r="N21" s="385"/>
      <c r="O21" s="383"/>
      <c r="P21" s="384"/>
      <c r="Q21" s="385"/>
      <c r="R21" s="383"/>
      <c r="S21" s="384"/>
      <c r="T21" s="385"/>
      <c r="U21" s="383"/>
      <c r="V21" s="384"/>
      <c r="W21" s="385"/>
      <c r="X21" s="383"/>
      <c r="Y21" s="384"/>
      <c r="Z21" s="385"/>
      <c r="AA21" s="383"/>
      <c r="AB21" s="384"/>
      <c r="AC21" s="385"/>
      <c r="AD21" s="383"/>
      <c r="AE21" s="384"/>
      <c r="AF21" s="385"/>
      <c r="AG21" s="375"/>
      <c r="AH21" s="376"/>
      <c r="AI21" s="376"/>
      <c r="AJ21" s="376"/>
      <c r="AK21" s="376"/>
      <c r="AL21" s="376"/>
      <c r="AM21" s="376"/>
      <c r="AN21" s="376"/>
      <c r="AO21" s="376"/>
      <c r="AP21" s="376"/>
      <c r="AQ21" s="376"/>
      <c r="AR21" s="379"/>
      <c r="AS21" s="132"/>
      <c r="AT21" s="132"/>
      <c r="AU21" s="132"/>
      <c r="AW21" s="3"/>
    </row>
    <row r="22" spans="1:51" ht="13.5" thickBot="1">
      <c r="A22" s="534"/>
      <c r="B22" s="386" t="s">
        <v>30</v>
      </c>
      <c r="C22" s="387"/>
      <c r="D22" s="388"/>
      <c r="E22" s="386" t="str">
        <f>IF(AL8&gt;1,"Match 2","")</f>
        <v>Match 2</v>
      </c>
      <c r="F22" s="387"/>
      <c r="G22" s="388"/>
      <c r="H22" s="386" t="str">
        <f>IF(AL8&gt;2,"Match 3","")</f>
        <v>Match 3</v>
      </c>
      <c r="I22" s="387"/>
      <c r="J22" s="388"/>
      <c r="K22" s="580"/>
      <c r="L22" s="386" t="str">
        <f>IF(AL8&gt;3,"Match 4","")</f>
        <v>Match 4</v>
      </c>
      <c r="M22" s="387"/>
      <c r="N22" s="388"/>
      <c r="O22" s="386" t="str">
        <f>IF(AL8&gt;4,"Match 5","")</f>
        <v>Match 5</v>
      </c>
      <c r="P22" s="387"/>
      <c r="Q22" s="388"/>
      <c r="R22" s="386" t="str">
        <f>IF(AL8&gt;5,"Match 6","")</f>
        <v>Match 6</v>
      </c>
      <c r="S22" s="387"/>
      <c r="T22" s="388"/>
      <c r="U22" s="386" t="str">
        <f>IF(AL8&gt;6,"Match 7","")</f>
        <v/>
      </c>
      <c r="V22" s="387"/>
      <c r="W22" s="388"/>
      <c r="X22" s="386" t="str">
        <f>IF(AL8&gt;7,"Match 8","")</f>
        <v/>
      </c>
      <c r="Y22" s="387"/>
      <c r="Z22" s="388"/>
      <c r="AA22" s="386" t="str">
        <f>IF(AL8&gt;8,"Match 9","")</f>
        <v/>
      </c>
      <c r="AB22" s="387"/>
      <c r="AC22" s="388"/>
      <c r="AD22" s="386" t="str">
        <f>IF(AL8&gt;9,"Match 10","")</f>
        <v/>
      </c>
      <c r="AE22" s="387"/>
      <c r="AF22" s="388"/>
      <c r="AG22" s="380"/>
      <c r="AH22" s="381"/>
      <c r="AI22" s="381"/>
      <c r="AJ22" s="381"/>
      <c r="AK22" s="381"/>
      <c r="AL22" s="381"/>
      <c r="AM22" s="381"/>
      <c r="AN22" s="381"/>
      <c r="AO22" s="381"/>
      <c r="AP22" s="381"/>
      <c r="AQ22" s="381"/>
      <c r="AR22" s="382"/>
      <c r="AS22" s="104"/>
      <c r="AT22" s="105"/>
      <c r="AU22" s="105"/>
      <c r="AW22" s="3"/>
    </row>
    <row r="23" spans="1:51" ht="15.75">
      <c r="A23" s="534"/>
      <c r="B23" s="389" t="s">
        <v>31</v>
      </c>
      <c r="C23" s="390"/>
      <c r="D23" s="391"/>
      <c r="E23" s="389" t="s">
        <v>32</v>
      </c>
      <c r="F23" s="390"/>
      <c r="G23" s="391"/>
      <c r="H23" s="389" t="s">
        <v>33</v>
      </c>
      <c r="I23" s="390"/>
      <c r="J23" s="391"/>
      <c r="K23" s="580"/>
      <c r="L23" s="389" t="s">
        <v>293</v>
      </c>
      <c r="M23" s="390"/>
      <c r="N23" s="391"/>
      <c r="O23" s="389" t="s">
        <v>32</v>
      </c>
      <c r="P23" s="390"/>
      <c r="Q23" s="391"/>
      <c r="R23" s="389" t="s">
        <v>33</v>
      </c>
      <c r="S23" s="390"/>
      <c r="T23" s="391"/>
      <c r="U23" s="389"/>
      <c r="V23" s="390"/>
      <c r="W23" s="391"/>
      <c r="X23" s="389"/>
      <c r="Y23" s="390"/>
      <c r="Z23" s="391"/>
      <c r="AA23" s="389"/>
      <c r="AB23" s="390"/>
      <c r="AC23" s="391"/>
      <c r="AD23" s="389"/>
      <c r="AE23" s="390"/>
      <c r="AF23" s="391"/>
      <c r="AG23" s="581" t="s">
        <v>34</v>
      </c>
      <c r="AH23" s="108">
        <v>1</v>
      </c>
      <c r="AI23" s="108">
        <v>2</v>
      </c>
      <c r="AJ23" s="108">
        <v>3</v>
      </c>
      <c r="AK23" s="108">
        <v>4</v>
      </c>
      <c r="AL23" s="108">
        <v>5</v>
      </c>
      <c r="AM23" s="108">
        <v>6</v>
      </c>
      <c r="AN23" s="108">
        <v>7</v>
      </c>
      <c r="AO23" s="108">
        <v>8</v>
      </c>
      <c r="AP23" s="108">
        <v>9</v>
      </c>
      <c r="AQ23" s="108">
        <v>10</v>
      </c>
      <c r="AR23" s="582" t="s">
        <v>200</v>
      </c>
      <c r="AS23" s="104"/>
      <c r="AT23" s="105"/>
      <c r="AU23" s="105"/>
      <c r="AW23" s="105"/>
      <c r="AX23" s="105"/>
      <c r="AY23" s="105"/>
    </row>
    <row r="24" spans="1:51" ht="15.75">
      <c r="A24" s="534"/>
      <c r="B24" s="109">
        <v>2</v>
      </c>
      <c r="C24" s="110" t="s">
        <v>35</v>
      </c>
      <c r="D24" s="111">
        <v>3</v>
      </c>
      <c r="E24" s="109">
        <v>1</v>
      </c>
      <c r="F24" s="110" t="str">
        <f>IF(AL8&gt;1,"v","")</f>
        <v>v</v>
      </c>
      <c r="G24" s="111">
        <v>4</v>
      </c>
      <c r="H24" s="109">
        <v>2</v>
      </c>
      <c r="I24" s="110" t="str">
        <f>IF(AL8&gt;2,"v","")</f>
        <v>v</v>
      </c>
      <c r="J24" s="111">
        <v>4</v>
      </c>
      <c r="K24" s="580"/>
      <c r="L24" s="109">
        <v>1</v>
      </c>
      <c r="M24" s="110" t="str">
        <f>IF(AL8&gt;3,"v","")</f>
        <v>v</v>
      </c>
      <c r="N24" s="111">
        <v>3</v>
      </c>
      <c r="O24" s="109">
        <v>3</v>
      </c>
      <c r="P24" s="110" t="str">
        <f>IF(AL8&gt;4,"v","")</f>
        <v>v</v>
      </c>
      <c r="Q24" s="111">
        <v>4</v>
      </c>
      <c r="R24" s="109">
        <v>1</v>
      </c>
      <c r="S24" s="110" t="str">
        <f>IF(AL8&gt;5,"v","")</f>
        <v>v</v>
      </c>
      <c r="T24" s="111">
        <v>2</v>
      </c>
      <c r="U24" s="109"/>
      <c r="V24" s="110" t="str">
        <f>IF(AL8&gt;6,"v","")</f>
        <v/>
      </c>
      <c r="W24" s="111"/>
      <c r="X24" s="109"/>
      <c r="Y24" s="110" t="str">
        <f>IF(AL8&gt;7,"v","")</f>
        <v/>
      </c>
      <c r="Z24" s="111"/>
      <c r="AA24" s="109"/>
      <c r="AB24" s="110" t="str">
        <f>IF(AL8&gt;8,"v","")</f>
        <v/>
      </c>
      <c r="AC24" s="111"/>
      <c r="AD24" s="109"/>
      <c r="AE24" s="110" t="str">
        <f>IF(AL8&gt;9,"v","")</f>
        <v/>
      </c>
      <c r="AF24" s="111"/>
      <c r="AG24" s="583" t="str">
        <f>IF(AL9&gt;0,"Team 1","")</f>
        <v>Team 1</v>
      </c>
      <c r="AH24" s="584" t="str">
        <f>IF(AL9&lt;1,"",IF(AL8&lt;1,"",IF(B24=1,B30-D30,IF(D24=1,D30-B30,""))))</f>
        <v/>
      </c>
      <c r="AI24" s="584">
        <f>IF(AL9&lt;1,"",IF(AL8&lt;2,"",IF(E24=1,E30-G30,IF(G24=1,G30-E30,""))))</f>
        <v>9</v>
      </c>
      <c r="AJ24" s="584" t="str">
        <f>IF(AL9&lt;1,"",IF(AL8&lt;3,"",IF(H24=1,H30-J30,IF(J24=1,J30-H30,""))))</f>
        <v/>
      </c>
      <c r="AK24" s="584">
        <f>IF(AL9&lt;1,"",IF(AL8&lt;4,"",IF(L24=1,L30-N30,IF(N24=1,N30-L30,""))))</f>
        <v>12</v>
      </c>
      <c r="AL24" s="584" t="str">
        <f>IF(AL9&lt;1,"",IF(AL8&lt;5,"",IF(O24=1,O30-Q30,IF(Q24=1,Q30-O30,""))))</f>
        <v/>
      </c>
      <c r="AM24" s="584">
        <f>IF(AL9&lt;1,"",IF(AL8&lt;6,"",IF(R24=1,R30-T30,IF(T24=1,T30-R30,""))))</f>
        <v>12</v>
      </c>
      <c r="AN24" s="584" t="str">
        <f>IF(AL9&lt;1,"",IF(AL8&lt;7,"",IF(U24=1,U30-W30,IF(W24=1,W30-U30,""))))</f>
        <v/>
      </c>
      <c r="AO24" s="584" t="str">
        <f>IF(AL9&lt;1,"",IF(AL8&lt;8,"",IF(X24=1,X30-Z30,IF(Z24=1,Z30-X30,""))))</f>
        <v/>
      </c>
      <c r="AP24" s="584" t="str">
        <f>IF(AL9&lt;1,"",IF(AL8&lt;9,"",IF(AA24=1,AA30-AC30,IF(AC24=1,AC30-AA30,""))))</f>
        <v/>
      </c>
      <c r="AQ24" s="584" t="str">
        <f>IF(AL9&lt;1,"",IF(AL8&lt;10,"",IF(AD24=1,AD30-AF30,IF(AF24=1,AF30-AD30,""))))</f>
        <v/>
      </c>
      <c r="AR24" s="582">
        <f>SUM(AH24:AQ24)</f>
        <v>33</v>
      </c>
      <c r="AS24" s="104"/>
      <c r="AT24" s="105"/>
      <c r="AU24" s="105"/>
      <c r="AW24" s="105"/>
      <c r="AX24" s="105"/>
      <c r="AY24" s="105"/>
    </row>
    <row r="25" spans="1:51" ht="15">
      <c r="A25" s="3" t="s">
        <v>36</v>
      </c>
      <c r="B25" s="112">
        <v>23</v>
      </c>
      <c r="C25" s="113" t="s">
        <v>37</v>
      </c>
      <c r="D25" s="114">
        <v>17</v>
      </c>
      <c r="E25" s="112">
        <v>23</v>
      </c>
      <c r="F25" s="113" t="str">
        <f>IF(AL8&gt;1,"/","")</f>
        <v>/</v>
      </c>
      <c r="G25" s="114">
        <v>14</v>
      </c>
      <c r="H25" s="112">
        <v>30</v>
      </c>
      <c r="I25" s="113" t="str">
        <f>IF(AL8&gt;2,"/","")</f>
        <v>/</v>
      </c>
      <c r="J25" s="114">
        <v>14</v>
      </c>
      <c r="K25" s="580"/>
      <c r="L25" s="112">
        <v>23</v>
      </c>
      <c r="M25" s="113" t="str">
        <f>IF(AL8&gt;3,"/","")</f>
        <v>/</v>
      </c>
      <c r="N25" s="114">
        <v>11</v>
      </c>
      <c r="O25" s="112">
        <v>24</v>
      </c>
      <c r="P25" s="113" t="str">
        <f>IF(AL8&gt;4,"/","")</f>
        <v>/</v>
      </c>
      <c r="Q25" s="114">
        <v>14</v>
      </c>
      <c r="R25" s="112">
        <v>25</v>
      </c>
      <c r="S25" s="113" t="str">
        <f>IF(AL8&gt;5,"/","")</f>
        <v>/</v>
      </c>
      <c r="T25" s="114">
        <v>13</v>
      </c>
      <c r="U25" s="112"/>
      <c r="V25" s="113" t="str">
        <f>IF(AL8&gt;6,"/","")</f>
        <v/>
      </c>
      <c r="W25" s="114"/>
      <c r="X25" s="112"/>
      <c r="Y25" s="113" t="str">
        <f>IF(AL8&gt;7,"/","")</f>
        <v/>
      </c>
      <c r="Z25" s="114"/>
      <c r="AA25" s="112"/>
      <c r="AB25" s="113" t="str">
        <f>IF(AL8&gt;8,"/","")</f>
        <v/>
      </c>
      <c r="AC25" s="114"/>
      <c r="AD25" s="112"/>
      <c r="AE25" s="113" t="str">
        <f>IF(AL8&gt;9,"/","")</f>
        <v/>
      </c>
      <c r="AF25" s="114"/>
      <c r="AG25" s="583" t="str">
        <f>IF(AL9&gt;1,"Team 2","")</f>
        <v>Team 2</v>
      </c>
      <c r="AH25" s="584">
        <f>IF(AL9&lt;2,"",IF(AL8&lt;1,"",IF(B24=2,B30-D30,IF(D24=2,D30-B30,""))))</f>
        <v>6</v>
      </c>
      <c r="AI25" s="584" t="str">
        <f>IF(AL9&lt;2,"",IF(AL8&lt;2,"",IF(E24=2,E30-G30,IF(G24=2,G30-E30,""))))</f>
        <v/>
      </c>
      <c r="AJ25" s="584">
        <f>IF(AL9&lt;2,"",IF(AL8&lt;3,"",IF(H24=2,H30-J30,IF(J24=2,J30-H30,""))))</f>
        <v>16</v>
      </c>
      <c r="AK25" s="584" t="str">
        <f>IF(AL9&lt;2,"",IF(AL8&lt;4,"",IF(L24=2,L30-N30,IF(N24=2,N30-L30,""))))</f>
        <v/>
      </c>
      <c r="AL25" s="584" t="str">
        <f>IF(AL9&lt;2,"",IF(AL8&lt;5,"",IF(O24=2,O30-Q30,IF(Q24=2,Q30-O30,""))))</f>
        <v/>
      </c>
      <c r="AM25" s="584">
        <f>IF(AL9&lt;2,"",IF(AL8&lt;6,"",IF(R24=2,R30-T30,IF(T24=2,T30-R30,""))))</f>
        <v>-12</v>
      </c>
      <c r="AN25" s="584" t="str">
        <f>IF(AL9&lt;2,"",IF(AL8&lt;7,"",IF(U24=2,U30-W30,IF(W24=2,W30-U30,""))))</f>
        <v/>
      </c>
      <c r="AO25" s="584" t="str">
        <f>IF(AL9&lt;2,"",IF(AL8&lt;8,"",IF(X24=2,X30-Z30,IF(Z24=2,Z30-X30,""))))</f>
        <v/>
      </c>
      <c r="AP25" s="584" t="str">
        <f>IF(AL9&lt;2,"",IF(AL8&lt;9,"",IF(AA24=2,AA30-AC30,IF(AC24=2,AC30-AA30,""))))</f>
        <v/>
      </c>
      <c r="AQ25" s="584" t="str">
        <f>IF(AL9&lt;2,"",IF(AL8&lt;10,"",IF(AD24=2,AD30-AF30,IF(AF24=2,AF30-AD30,""))))</f>
        <v/>
      </c>
      <c r="AR25" s="582">
        <f>SUM(AH25:AQ25)</f>
        <v>10</v>
      </c>
      <c r="AS25" s="132"/>
      <c r="AT25" s="132"/>
      <c r="AU25" s="132"/>
      <c r="AW25" s="3"/>
    </row>
    <row r="26" spans="1:51" ht="15">
      <c r="A26" s="46" t="str">
        <f>IF(AL7&gt;1,"Game 2","")</f>
        <v/>
      </c>
      <c r="B26" s="112"/>
      <c r="C26" s="113" t="s">
        <v>37</v>
      </c>
      <c r="D26" s="114"/>
      <c r="E26" s="112"/>
      <c r="F26" s="113" t="str">
        <f>IF(AL8&gt;1,IF(AL7&gt;1,"/",""),"")</f>
        <v/>
      </c>
      <c r="G26" s="114"/>
      <c r="H26" s="112"/>
      <c r="I26" s="113" t="str">
        <f>IF(AL8&gt;2,IF(AL7&gt;1,"/",""),"")</f>
        <v/>
      </c>
      <c r="J26" s="114"/>
      <c r="K26" s="580"/>
      <c r="L26" s="112"/>
      <c r="M26" s="113" t="str">
        <f>IF(AL8&gt;3,IF(AL7&gt;1,"/",""),"")</f>
        <v/>
      </c>
      <c r="N26" s="114"/>
      <c r="O26" s="112"/>
      <c r="P26" s="113" t="str">
        <f>IF(AL8&gt;4,IF(AL7&gt;1,"/",""),"")</f>
        <v/>
      </c>
      <c r="Q26" s="114"/>
      <c r="R26" s="112"/>
      <c r="S26" s="113" t="str">
        <f>IF(AL8&gt;5,IF(AL7&gt;1,"/",""),"")</f>
        <v/>
      </c>
      <c r="T26" s="114"/>
      <c r="U26" s="112"/>
      <c r="V26" s="113" t="str">
        <f>IF(AL8&gt;6,IF(AL7&gt;1,"/",""),"")</f>
        <v/>
      </c>
      <c r="W26" s="114"/>
      <c r="X26" s="112"/>
      <c r="Y26" s="113" t="str">
        <f>IF(AL8&gt;7,IF(AL7&gt;1,"/",""),"")</f>
        <v/>
      </c>
      <c r="Z26" s="114"/>
      <c r="AA26" s="112"/>
      <c r="AB26" s="113" t="str">
        <f>IF(AL8&gt;8,IF(AL7&gt;1,"/",""),"")</f>
        <v/>
      </c>
      <c r="AC26" s="114"/>
      <c r="AD26" s="112"/>
      <c r="AE26" s="113" t="str">
        <f>IF(AL8&gt;9,IF(AL7&gt;1,"/",""),"")</f>
        <v/>
      </c>
      <c r="AF26" s="114"/>
      <c r="AG26" s="583" t="str">
        <f>IF(AL9&gt;2,"Team 3","")</f>
        <v>Team 3</v>
      </c>
      <c r="AH26" s="584">
        <f>IF(AL9&lt;3,"",IF(AL8&lt;1,"",IF(B24=3,B30-D30,IF(D24=3,D30-B30,""))))</f>
        <v>-6</v>
      </c>
      <c r="AI26" s="584" t="str">
        <f>IF(AL9&lt;3,"",IF(AL8&lt;2,"",IF(E24=3,E30-G30,IF(G24=3,G30-E30,""))))</f>
        <v/>
      </c>
      <c r="AJ26" s="584" t="str">
        <f>IF(AL9&lt;3,"",IF(AL8&lt;3,"",IF(H24=3,H30-J30,IF(J24=3,J30-H30,""))))</f>
        <v/>
      </c>
      <c r="AK26" s="584">
        <f>IF(AL9&lt;3,"",IF(AL8&lt;4,"",IF(L24=3,L30-N30,IF(N24=3,N30-L30,""))))</f>
        <v>-12</v>
      </c>
      <c r="AL26" s="584">
        <f>IF(AL9&lt;3,"",IF(AL8&lt;5,"",IF(O24=3,O30-Q30,IF(Q24=3,Q30-O30,""))))</f>
        <v>10</v>
      </c>
      <c r="AM26" s="584" t="str">
        <f>IF(AL9&lt;3,"",IF(AL8&lt;6,"",IF(R24=3,R30-T30,IF(T24=3,T30-R30,""))))</f>
        <v/>
      </c>
      <c r="AN26" s="584" t="str">
        <f>IF(AL9&lt;3,"",IF(AL8&lt;7,"",IF(U24=3,U30-W30,IF(W24=3,W30-U30,""))))</f>
        <v/>
      </c>
      <c r="AO26" s="584" t="str">
        <f>IF(AL9&lt;3,"",IF(AL8&lt;8,"",IF(X24=3,X30-Z30,IF(Z24=3,Z30-X30,""))))</f>
        <v/>
      </c>
      <c r="AP26" s="584" t="str">
        <f>IF(AL9&lt;3,"",IF(AL8&lt;9,"",IF(AA24=3,AA30-AC30,IF(AC24=3,AC30-AA30,""))))</f>
        <v/>
      </c>
      <c r="AQ26" s="584" t="str">
        <f>IF(AL9&lt;3,"",IF(AL8&lt;9,"",IF(AD24=3,AD30-AF30,IF(AF24=3,AF30-AD30,""))))</f>
        <v/>
      </c>
      <c r="AR26" s="582">
        <f>SUM(AH26:AQ26)</f>
        <v>-8</v>
      </c>
      <c r="AS26" s="132"/>
      <c r="AT26" s="132"/>
      <c r="AU26" s="132"/>
      <c r="AW26" s="3"/>
    </row>
    <row r="27" spans="1:51" ht="15">
      <c r="A27" s="46" t="str">
        <f>IF(AL7&gt;2,"Game 3","")</f>
        <v/>
      </c>
      <c r="B27" s="112"/>
      <c r="C27" s="113" t="s">
        <v>37</v>
      </c>
      <c r="D27" s="114"/>
      <c r="E27" s="112"/>
      <c r="F27" s="113" t="str">
        <f>IF(AL8&gt;1,IF(AL7&gt;2,"/",""),"")</f>
        <v/>
      </c>
      <c r="G27" s="114"/>
      <c r="H27" s="112"/>
      <c r="I27" s="113" t="str">
        <f>IF(AL8&gt;2,IF(AL7&gt;2,"/",""),"")</f>
        <v/>
      </c>
      <c r="J27" s="114"/>
      <c r="K27" s="580"/>
      <c r="L27" s="112"/>
      <c r="M27" s="113" t="str">
        <f>IF(AL8&gt;3,IF(AL7&gt;2,"/",""),"")</f>
        <v/>
      </c>
      <c r="N27" s="114"/>
      <c r="O27" s="112"/>
      <c r="P27" s="113" t="str">
        <f>IF(AL8&gt;4,IF(AL7&gt;2,"/",""),"")</f>
        <v/>
      </c>
      <c r="Q27" s="114"/>
      <c r="R27" s="112"/>
      <c r="S27" s="113" t="str">
        <f>IF(AL8&gt;5,IF(AL7&gt;2,"/",""),"")</f>
        <v/>
      </c>
      <c r="T27" s="114"/>
      <c r="U27" s="112"/>
      <c r="V27" s="113" t="str">
        <f>IF(AL8&gt;6,IF(AL7&gt;2,"/",""),"")</f>
        <v/>
      </c>
      <c r="W27" s="114"/>
      <c r="X27" s="112"/>
      <c r="Y27" s="113" t="str">
        <f>IF(AL8&gt;7,IF(AL7&gt;2,"/",""),"")</f>
        <v/>
      </c>
      <c r="Z27" s="114"/>
      <c r="AA27" s="112"/>
      <c r="AB27" s="113" t="str">
        <f>IF(AL8&gt;8,IF(AL7&gt;2,"/",""),"")</f>
        <v/>
      </c>
      <c r="AC27" s="114"/>
      <c r="AD27" s="112"/>
      <c r="AE27" s="113" t="str">
        <f>IF(AL8&gt;9,IF(AL7&gt;2,"/",""),"")</f>
        <v/>
      </c>
      <c r="AF27" s="114"/>
      <c r="AG27" s="583" t="str">
        <f>IF(AL9&gt;3,"Team 4","")</f>
        <v>Team 4</v>
      </c>
      <c r="AH27" s="584" t="str">
        <f>IF(AL9&lt;4,"",IF(AL8&lt;1,"",IF(B24=4,B30-D30,IF(D24=4,D30-B30,""))))</f>
        <v/>
      </c>
      <c r="AI27" s="584">
        <f>IF(AL9&lt;4,"",IF(AL8&lt;2,"",IF(E24=4,E30-G30,IF(G24=4,G30-E30,""))))</f>
        <v>-9</v>
      </c>
      <c r="AJ27" s="584">
        <f>IF(AL9&lt;4,"",IF(AL8&lt;3,"",IF(H24=4,H30-J30,IF(J24=4,J30-H30,""))))</f>
        <v>-16</v>
      </c>
      <c r="AK27" s="584" t="str">
        <f>IF(AL9&lt;4,"",IF(AL8&lt;4,"",IF(L24=4,L30-N30,IF(N24=4,N30-L30,""))))</f>
        <v/>
      </c>
      <c r="AL27" s="584">
        <f>IF(AL9&lt;4,"",IF(AL8&lt;5,"",IF(O24=4,O30-Q30,IF(Q24=4,Q30-O30,""))))</f>
        <v>-10</v>
      </c>
      <c r="AM27" s="584" t="str">
        <f>IF(AL9&lt;4,"",IF(AL8&lt;6,"",IF(R24=4,R30-T30,IF(T24=4,T30-R30,""))))</f>
        <v/>
      </c>
      <c r="AN27" s="584" t="str">
        <f>IF(AL9&lt;4,"",IF(AL8&lt;7,"",IF(U24=4,U30-W30,IF(W24=4,W30-U30,""))))</f>
        <v/>
      </c>
      <c r="AO27" s="584" t="str">
        <f>IF(AL9&lt;4,"",IF(AL8&lt;8,"",IF(X24=4,X30-Z30,IF(Z24=4,Z30-X30,""))))</f>
        <v/>
      </c>
      <c r="AP27" s="584" t="str">
        <f>IF(AL9&lt;4,"",IF(AL8&lt;9,"",IF(AA24=4,AA30-AC30,IF(AC24=4,AC30-AA30,""))))</f>
        <v/>
      </c>
      <c r="AQ27" s="584" t="str">
        <f>IF(AL9&lt;4,"",IF(AL8&lt;10,"",IF(AD24=4,AD30-AF30,IF(AF24=4,AF30-AD30,""))))</f>
        <v/>
      </c>
      <c r="AR27" s="582">
        <f>SUM(AH27:AQ27)</f>
        <v>-35</v>
      </c>
      <c r="AW27" s="3"/>
    </row>
    <row r="28" spans="1:51" ht="15">
      <c r="A28" s="46" t="str">
        <f>IF(AL7&gt;3,"Game 4","")</f>
        <v/>
      </c>
      <c r="B28" s="112"/>
      <c r="C28" s="113" t="s">
        <v>37</v>
      </c>
      <c r="D28" s="114"/>
      <c r="E28" s="112"/>
      <c r="F28" s="113" t="str">
        <f>IF(AL8&gt;1,IF(AL7&gt;3,"/",""),"")</f>
        <v/>
      </c>
      <c r="G28" s="114"/>
      <c r="H28" s="112"/>
      <c r="I28" s="113" t="str">
        <f>IF(AL8&gt;2,IF(AL7&gt;3,"/",""),"")</f>
        <v/>
      </c>
      <c r="J28" s="114"/>
      <c r="K28" s="580"/>
      <c r="L28" s="112"/>
      <c r="M28" s="113" t="str">
        <f>IF(AL8&gt;3,IF(AL7&gt;3,"/",""),"")</f>
        <v/>
      </c>
      <c r="N28" s="114"/>
      <c r="O28" s="112"/>
      <c r="P28" s="113" t="str">
        <f>IF(AL8&gt;4,IF(AL7&gt;3,"/",""),"")</f>
        <v/>
      </c>
      <c r="Q28" s="114"/>
      <c r="R28" s="112"/>
      <c r="S28" s="113" t="str">
        <f>IF(AL8&gt;5,IF(AL7&gt;3,"/",""),"")</f>
        <v/>
      </c>
      <c r="T28" s="114"/>
      <c r="U28" s="112"/>
      <c r="V28" s="113" t="str">
        <f>IF(AL8&gt;6,IF(AL7&gt;3,"/",""),"")</f>
        <v/>
      </c>
      <c r="W28" s="114"/>
      <c r="X28" s="112"/>
      <c r="Y28" s="113" t="str">
        <f>IF(AL8&gt;7,IF(AL7&gt;3,"/",""),"")</f>
        <v/>
      </c>
      <c r="Z28" s="114"/>
      <c r="AA28" s="112"/>
      <c r="AB28" s="113" t="str">
        <f>IF(AL8&gt;8,IF(AL7&gt;3,"/",""),"")</f>
        <v/>
      </c>
      <c r="AC28" s="114"/>
      <c r="AD28" s="112"/>
      <c r="AE28" s="113" t="str">
        <f>IF(AL8&gt;9,IF(AL7&gt;3,"/",""),"")</f>
        <v/>
      </c>
      <c r="AF28" s="114"/>
      <c r="AG28" s="583" t="str">
        <f>IF(AL9&gt;4,"Team 5","")</f>
        <v/>
      </c>
      <c r="AH28" s="585" t="str">
        <f>IF(AL9&lt;5,"",IF(AL8&lt;1,"",IF(B24=5,B30-D30,IF(D24=5,D30-B30,""))))</f>
        <v/>
      </c>
      <c r="AI28" s="584" t="str">
        <f>IF(AL9&lt;5,"",IF(AL8&lt;2,"",IF(E24=5,E30-G30,IF(G24=5,G30-E30,""))))</f>
        <v/>
      </c>
      <c r="AJ28" s="584" t="str">
        <f>IF(AL9&lt;5,"",IF(AL8&lt;3,"",IF(H24=5,H30-J30,IF(J24=5,J30-H30,""))))</f>
        <v/>
      </c>
      <c r="AK28" s="584" t="str">
        <f>IF(AL9&lt;5,"",IF(AL8&lt;4,"",IF(L24=5,L30-N30,IF(N24=5,N30-L30,""))))</f>
        <v/>
      </c>
      <c r="AL28" s="584" t="str">
        <f>IF(AL9&lt;5,"",IF(AL8&lt;5,"",IF(O24=5,O30-Q30,IF(Q24=5,Q30-O30,""))))</f>
        <v/>
      </c>
      <c r="AM28" s="584" t="str">
        <f>IF(AL9&lt;5,"",IF(AL8&lt;6,"",IF(R24=5,R30-T30,IF(T24=5,T30-R30,""))))</f>
        <v/>
      </c>
      <c r="AN28" s="584" t="str">
        <f>IF(AL9&lt;5,"",IF(AL8&lt;7,"",IF(U24=5,U30-W30,IF(W24=5,W30-U30,""))))</f>
        <v/>
      </c>
      <c r="AO28" s="584" t="str">
        <f>IF(AL9&lt;5,"",IF(AL8&lt;8,"",IF(X24=5,X30-Z30,IF(Z24=5,Z30-X30,""))))</f>
        <v/>
      </c>
      <c r="AP28" s="584" t="str">
        <f>IF(AL9&lt;5,"",IF(AL8&lt;9,"",IF(AA24=5,AA30-AC30,IF(AC24=5,AC30-AA30,""))))</f>
        <v/>
      </c>
      <c r="AQ28" s="584" t="str">
        <f>IF(AL9&lt;5,"",IF(AL8&lt;10,"",IF(AD24=5,AD30-AF30,IF(AF24=5,AF30-AD30,""))))</f>
        <v/>
      </c>
      <c r="AR28" s="582">
        <f>SUM(AH28:AQ28)</f>
        <v>0</v>
      </c>
      <c r="AW28" s="132"/>
      <c r="AX28" s="132"/>
      <c r="AY28" s="132"/>
    </row>
    <row r="29" spans="1:51" ht="15">
      <c r="A29" s="46" t="str">
        <f>IF(AL7&gt;4,"Game 5","")</f>
        <v/>
      </c>
      <c r="B29" s="112"/>
      <c r="C29" s="113" t="s">
        <v>37</v>
      </c>
      <c r="D29" s="114"/>
      <c r="E29" s="112"/>
      <c r="F29" s="113" t="str">
        <f>IF(AL8&gt;1,IF(AL7&gt;4,"/",""),"")</f>
        <v/>
      </c>
      <c r="G29" s="114"/>
      <c r="H29" s="112"/>
      <c r="I29" s="113" t="str">
        <f>IF(AL8&gt;2,IF(AL7&gt;4,"/",""),"")</f>
        <v/>
      </c>
      <c r="J29" s="114"/>
      <c r="K29" s="586"/>
      <c r="L29" s="112"/>
      <c r="M29" s="113" t="str">
        <f>IF(AL8&gt;3,IF(AL7&gt;4,"/",""),"")</f>
        <v/>
      </c>
      <c r="N29" s="114"/>
      <c r="O29" s="112"/>
      <c r="P29" s="113" t="str">
        <f>IF(AL8&gt;4,IF(AL7&gt;4,"/",""),"")</f>
        <v/>
      </c>
      <c r="Q29" s="114"/>
      <c r="R29" s="112"/>
      <c r="S29" s="113" t="str">
        <f>IF(AL8&gt;5,IF(AL7&gt;4,"/",""),"")</f>
        <v/>
      </c>
      <c r="T29" s="114"/>
      <c r="U29" s="112"/>
      <c r="V29" s="113" t="str">
        <f>IF(AL8&gt;6,IF(AL7&gt;4,"/",""),"")</f>
        <v/>
      </c>
      <c r="W29" s="114"/>
      <c r="X29" s="112"/>
      <c r="Y29" s="113" t="str">
        <f>IF(AL8&gt;7,IF(AL7&gt;4,"/",""),"")</f>
        <v/>
      </c>
      <c r="Z29" s="114"/>
      <c r="AA29" s="112"/>
      <c r="AB29" s="113" t="str">
        <f>IF(AL8&gt;8,IF(AL7&gt;4,"/",""),"")</f>
        <v/>
      </c>
      <c r="AC29" s="114"/>
      <c r="AD29" s="112"/>
      <c r="AE29" s="113" t="str">
        <f>IF(AL8&gt;9,IF(AL7&gt;4,"/",""),"")</f>
        <v/>
      </c>
      <c r="AF29" s="114"/>
      <c r="AG29" s="534"/>
      <c r="AH29" s="534"/>
      <c r="AI29" s="534"/>
      <c r="AJ29" s="534"/>
      <c r="AK29" s="534"/>
      <c r="AL29" s="534"/>
      <c r="AM29" s="534"/>
      <c r="AN29" s="534"/>
      <c r="AO29" s="534"/>
      <c r="AP29" s="534"/>
      <c r="AQ29" s="534"/>
      <c r="AR29" s="534"/>
      <c r="AW29" s="132"/>
      <c r="AX29" s="132"/>
      <c r="AY29" s="132"/>
    </row>
    <row r="30" spans="1:51" hidden="1">
      <c r="A30" s="116"/>
      <c r="B30" s="116">
        <f>IF($AL7=5,SUM(B25:B29),IF($AL7=4,SUM(B25:B28),IF($AL7=3,SUM(B25:B27),IF($AL7=2,SUM(B25:B26),B25))))</f>
        <v>23</v>
      </c>
      <c r="C30" s="116"/>
      <c r="D30" s="116">
        <f>IF($AL7=5,SUM(D25:D29),IF($AL7=4,SUM(D25:D28),IF($AL7=3,SUM(D25:D27),IF($AL7=2,SUM(D25:D26),D25))))</f>
        <v>17</v>
      </c>
      <c r="E30" s="116">
        <f>IF($AL7=5,SUM(E25:E29),IF($AL7=4,SUM(E25:E28),IF($AL7=3,SUM(E25:E27),IF($AL7=2,SUM(E25:E26),E25))))</f>
        <v>23</v>
      </c>
      <c r="F30" s="116"/>
      <c r="G30" s="116">
        <f>IF($AL7=5,SUM(G25:G29),IF($AL7=4,SUM(G25:G28),IF($AL7=3,SUM(G25:G27),IF($AL7=2,SUM(G25:G26),G25))))</f>
        <v>14</v>
      </c>
      <c r="H30" s="116">
        <f>IF($AL7=5,SUM(H25:H29),IF($AL7=4,SUM(H25:H28),IF($AL7=3,SUM(H25:H27),IF($AL7=2,SUM(H25:H26),H25))))</f>
        <v>30</v>
      </c>
      <c r="I30" s="116"/>
      <c r="J30" s="116">
        <f>IF($AL7=5,SUM(J25:J29),IF($AL7=4,SUM(J25:J28),IF($AL7=3,SUM(J25:J27),IF($AL7=2,SUM(J25:J26),J25))))</f>
        <v>14</v>
      </c>
      <c r="K30" s="116"/>
      <c r="L30" s="116">
        <f>IF($AL7=5,SUM(L25:L29),IF($AL7=4,SUM(L25:L28),IF($AL7=3,SUM(L25:L27),IF($AL7=2,SUM(L25:L26),L25))))</f>
        <v>23</v>
      </c>
      <c r="M30" s="116"/>
      <c r="N30" s="116">
        <f>IF($AL7=5,SUM(N25:N29),IF($AL7=4,SUM(N25:N28),IF($AL7=3,SUM(N25:N27),IF($AL7=2,SUM(N25:N26),N25))))</f>
        <v>11</v>
      </c>
      <c r="O30" s="116">
        <f>IF($AL7=5,SUM(O25:O29),IF($AL7=4,SUM(O25:O28),IF($AL7=3,SUM(O25:O27),IF($AL7=2,SUM(O25:O26),O25))))</f>
        <v>24</v>
      </c>
      <c r="P30" s="116"/>
      <c r="Q30" s="116">
        <f>IF($AL7=5,SUM(Q25:Q29),IF($AL7=4,SUM(Q25:Q28),IF($AL7=3,SUM(Q25:Q27),IF($AL7=2,SUM(Q25:Q26),Q25))))</f>
        <v>14</v>
      </c>
      <c r="R30" s="116">
        <f>IF($AL7=5,SUM(R25:R29),IF($AL7=4,SUM(R25:R28),IF($AL7=3,SUM(R25:R27),IF($AL7=2,SUM(R25:R26),R25))))</f>
        <v>25</v>
      </c>
      <c r="S30" s="116"/>
      <c r="T30" s="116">
        <f>IF($AL7=5,SUM(T25:T29),IF($AL7=4,SUM(T25:T28),IF($AL7=3,SUM(T25:T27),IF($AL7=2,SUM(T25:T26),T25))))</f>
        <v>13</v>
      </c>
      <c r="U30" s="116">
        <f>IF($AL7=5,SUM(U25:U29),IF($AL7=4,SUM(U25:U28),IF($AL7=3,SUM(U25:U27),IF($AL7=2,SUM(U25:U26),U25))))</f>
        <v>0</v>
      </c>
      <c r="V30" s="116"/>
      <c r="W30" s="116">
        <f>IF($AL7=5,SUM(W25:W29),IF($AL7=4,SUM(W25:W28),IF($AL7=3,SUM(W25:W27),IF($AL7=2,SUM(W25:W26),W25))))</f>
        <v>0</v>
      </c>
      <c r="X30" s="116">
        <f>IF($AL7=5,SUM(X25:X29),IF($AL7=4,SUM(X25:X28),IF($AL7=3,SUM(X25:X27),IF($AL7=2,SUM(X25:X26),X25))))</f>
        <v>0</v>
      </c>
      <c r="Y30" s="116"/>
      <c r="Z30" s="116">
        <f>IF($AL7=5,SUM(Z25:Z29),IF($AL7=4,SUM(Z25:Z28),IF($AL7=3,SUM(Z25:Z27),IF($AL7=2,SUM(Z25:Z26),Z25))))</f>
        <v>0</v>
      </c>
      <c r="AA30" s="116">
        <f>IF($AL7=5,SUM(AA25:AA29),IF($AL7=4,SUM(AA25:AA28),IF($AL7=3,SUM(AA25:AA27),IF($AL7=2,SUM(AA25:AA26),AA25))))</f>
        <v>0</v>
      </c>
      <c r="AB30" s="116"/>
      <c r="AC30" s="116">
        <f>IF($AL7=5,SUM(AC25:AC29),IF($AL7=4,SUM(AC25:AC28),IF($AL7=3,SUM(AC25:AC27),IF($AL7=2,SUM(AC25:AC26),AC25))))</f>
        <v>0</v>
      </c>
      <c r="AD30" s="116">
        <f>IF($AL7=5,SUM(AD25:AD29),IF($AL7=4,SUM(AD25:AD28),IF($AL7=3,SUM(AD25:AD27),IF($AL7=2,SUM(AD25:AD26),AD25))))</f>
        <v>0</v>
      </c>
      <c r="AE30" s="116"/>
      <c r="AF30" s="116">
        <f>IF($AL7=5,SUM(AF25:AF29),IF($AL7=4,SUM(AF25:AF28),IF($AL7=3,SUM(AF25:AF27),IF($AL7=2,SUM(AF25:AF26),AF25))))</f>
        <v>0</v>
      </c>
      <c r="AG30" s="534"/>
      <c r="AH30" s="534"/>
      <c r="AI30" s="534"/>
      <c r="AJ30" s="534"/>
      <c r="AK30" s="534"/>
      <c r="AL30" s="534"/>
      <c r="AM30" s="534"/>
      <c r="AN30" s="534"/>
      <c r="AO30" s="534"/>
      <c r="AP30" s="534"/>
      <c r="AQ30" s="534"/>
      <c r="AR30" s="534"/>
    </row>
    <row r="31" spans="1:51" s="115" customFormat="1" ht="12.75" hidden="1" customHeight="1">
      <c r="A31" s="115" t="s">
        <v>201</v>
      </c>
      <c r="B31" s="164">
        <f>IF(AND(B25&gt;D25,$AL8&gt;0,ISNUMBER(B25),ISNUMBER(D25)),1,0)</f>
        <v>1</v>
      </c>
      <c r="C31" s="164"/>
      <c r="D31" s="165">
        <f>IF(AND(D25&gt;B25,$AL8&gt;0,ISNUMBER(B25),ISNUMBER(D25)),1,0)</f>
        <v>0</v>
      </c>
      <c r="E31" s="164">
        <f>IF(AND(E25&gt;G25,$AL8&gt;1,ISNUMBER(E25),ISNUMBER(G25)),1,0)</f>
        <v>1</v>
      </c>
      <c r="F31" s="164"/>
      <c r="G31" s="165">
        <f>IF(AND(G25&gt;E25,$AL8&gt;1,ISNUMBER(E25),ISNUMBER(G25)),1,0)</f>
        <v>0</v>
      </c>
      <c r="H31" s="164">
        <f>IF(AND(H25&gt;J25,$AL8&gt;2,ISNUMBER(H25),ISNUMBER(J25)),1,0)</f>
        <v>1</v>
      </c>
      <c r="I31" s="164"/>
      <c r="J31" s="165">
        <f>IF(AND(J25&gt;H25,$AL8&gt;2,ISNUMBER(H25),ISNUMBER(J25)),1,0)</f>
        <v>0</v>
      </c>
      <c r="K31" s="168"/>
      <c r="L31" s="164">
        <f>IF(AND(L25&gt;N25,$AL8&gt;3,ISNUMBER(L25),ISNUMBER(N25)),1,0)</f>
        <v>1</v>
      </c>
      <c r="M31" s="164"/>
      <c r="N31" s="165">
        <f>IF(AND(N25&gt;L25,$AL8&gt;3,ISNUMBER(L25),ISNUMBER(N25)),1,0)</f>
        <v>0</v>
      </c>
      <c r="O31" s="164">
        <f>IF(AND(O25&gt;Q25,$AL8&gt;4,ISNUMBER(O25),ISNUMBER(Q25)),1,0)</f>
        <v>1</v>
      </c>
      <c r="P31" s="164"/>
      <c r="Q31" s="165">
        <f>IF(AND(Q25&gt;O25,$AL8&gt;4,ISNUMBER(O25),ISNUMBER(Q25)),1,0)</f>
        <v>0</v>
      </c>
      <c r="R31" s="164">
        <f>IF(AND(R25&gt;T25,$AL8&gt;5,ISNUMBER(R25),ISNUMBER(T25)),1,0)</f>
        <v>1</v>
      </c>
      <c r="S31" s="164"/>
      <c r="T31" s="165">
        <f>IF(AND(T25&gt;R25,$AL8&gt;5,ISNUMBER(R25),ISNUMBER(T25)),1,0)</f>
        <v>0</v>
      </c>
      <c r="U31" s="164">
        <f>IF(AND(U25&gt;W25,$AL8&gt;6,ISNUMBER(U25),ISNUMBER(W25)),1,0)</f>
        <v>0</v>
      </c>
      <c r="V31" s="164"/>
      <c r="W31" s="165">
        <f>IF(AND(W25&gt;U25,$AL8&gt;6,ISNUMBER(U25),ISNUMBER(W25)),1,0)</f>
        <v>0</v>
      </c>
      <c r="X31" s="164">
        <f>IF(AND(X25&gt;Z25,$AL8&gt;7,ISNUMBER(X25),ISNUMBER(Z25)),1,0)</f>
        <v>0</v>
      </c>
      <c r="Y31" s="164"/>
      <c r="Z31" s="165">
        <f>IF(AND(Z25&gt;X25,$AL8&gt;7,ISNUMBER(X25),ISNUMBER(Z25)),1,0)</f>
        <v>0</v>
      </c>
      <c r="AA31" s="164">
        <f>IF(AND(AA25&gt;AC25,$AL8&gt;8,ISNUMBER(AA25),ISNUMBER(AC25)),1,0)</f>
        <v>0</v>
      </c>
      <c r="AB31" s="164"/>
      <c r="AC31" s="165">
        <f>IF(AND(AC25&gt;AA25,$AL8&gt;8,ISNUMBER(AA25),ISNUMBER(AC25)),1,0)</f>
        <v>0</v>
      </c>
      <c r="AD31" s="164">
        <f>IF(AND(AD25&gt;AF25,$AL8&gt;9,ISNUMBER(AD25),ISNUMBER(AF25)),1,0)</f>
        <v>0</v>
      </c>
      <c r="AE31" s="164"/>
      <c r="AF31" s="165">
        <f>IF(AND(AF25&gt;AD25,$AL8&gt;9,ISNUMBER(AD25),ISNUMBER(AF25)),1,0)</f>
        <v>0</v>
      </c>
      <c r="AW31" s="166"/>
    </row>
    <row r="32" spans="1:51" s="115" customFormat="1" ht="12.75" hidden="1" customHeight="1">
      <c r="A32" s="115" t="s">
        <v>202</v>
      </c>
      <c r="B32" s="164">
        <f>IF(AND(B26&gt;D26,$AL8&gt;0,$AL7&gt;1,ISNUMBER(B26),ISNUMBER(D26)),1,0)</f>
        <v>0</v>
      </c>
      <c r="C32" s="164"/>
      <c r="D32" s="165">
        <f>IF(AND(D26&gt;B26,$AL8&gt;0,$AL7&gt;1,ISNUMBER(B26),ISNUMBER(D26)),1,0)</f>
        <v>0</v>
      </c>
      <c r="E32" s="164">
        <f>IF(AND(E26&gt;G26,$AL8&gt;1,$AL7&gt;1,ISNUMBER(E26),ISNUMBER(G26)),1,0)</f>
        <v>0</v>
      </c>
      <c r="F32" s="164"/>
      <c r="G32" s="165">
        <f>IF(AND(G26&gt;E26,$AL8&gt;1,$AL7&gt;1,ISNUMBER(E26),ISNUMBER(G26)),1,0)</f>
        <v>0</v>
      </c>
      <c r="H32" s="164">
        <f>IF(AND(H26&gt;J26,$AL8&gt;2,$AL7&gt;1,ISNUMBER(H26),ISNUMBER(J26)),1,0)</f>
        <v>0</v>
      </c>
      <c r="I32" s="164"/>
      <c r="J32" s="165">
        <f>IF(AND(J26&gt;H26,$AL8&gt;2,$AL7&gt;1,ISNUMBER(H26),ISNUMBER(J26)),1,0)</f>
        <v>0</v>
      </c>
      <c r="K32" s="168"/>
      <c r="L32" s="164">
        <f>IF(AND(L26&gt;N26,$AL8&gt;3,$AL7&gt;1,ISNUMBER(L26),ISNUMBER(N26)),1,0)</f>
        <v>0</v>
      </c>
      <c r="M32" s="164"/>
      <c r="N32" s="165">
        <f>IF(AND(N26&gt;L26,$AL8&gt;3,$AL7&gt;1,ISNUMBER(L26),ISNUMBER(N26)),1,0)</f>
        <v>0</v>
      </c>
      <c r="O32" s="164">
        <f>IF(AND(O26&gt;Q26,$AL8&gt;4,$AL7&gt;1,ISNUMBER(O26),ISNUMBER(Q26)),1,0)</f>
        <v>0</v>
      </c>
      <c r="P32" s="164"/>
      <c r="Q32" s="165">
        <f>IF(AND(Q26&gt;O26,$AL8&gt;4,$AL7&gt;1,ISNUMBER(O26),ISNUMBER(Q26)),1,0)</f>
        <v>0</v>
      </c>
      <c r="R32" s="164">
        <f>IF(AND(R26&gt;T26,$AL8&gt;5,$AL7&gt;1,ISNUMBER(R26),ISNUMBER(T26)),1,0)</f>
        <v>0</v>
      </c>
      <c r="S32" s="164"/>
      <c r="T32" s="165">
        <f>IF(AND(T26&gt;R26,$AL8&gt;5,$AL7&gt;1,ISNUMBER(R26),ISNUMBER(T26)),1,0)</f>
        <v>0</v>
      </c>
      <c r="U32" s="164">
        <f>IF(AND(U26&gt;W26,$AL8&gt;6,$AL7&gt;1,ISNUMBER(U26),ISNUMBER(W26)),1,0)</f>
        <v>0</v>
      </c>
      <c r="V32" s="164"/>
      <c r="W32" s="165">
        <f>IF(AND(W26&gt;U26,$AL8&gt;6,$AL7&gt;1,ISNUMBER(U26),ISNUMBER(W26)),1,0)</f>
        <v>0</v>
      </c>
      <c r="X32" s="164">
        <f>IF(AND(X26&gt;Z26,$AL8&gt;7,$AL7&gt;1,ISNUMBER(X26),ISNUMBER(Z26)),1,0)</f>
        <v>0</v>
      </c>
      <c r="Y32" s="164"/>
      <c r="Z32" s="165">
        <f>IF(AND(Z26&gt;X26,$AL8&gt;7,$AL7&gt;1,ISNUMBER(X26),ISNUMBER(Z26)),1,0)</f>
        <v>0</v>
      </c>
      <c r="AA32" s="164">
        <f>IF(AND(AA26&gt;AC26,$AL8&gt;8,$AL7&gt;1,ISNUMBER(AA26),ISNUMBER(AC26)),1,0)</f>
        <v>0</v>
      </c>
      <c r="AB32" s="164"/>
      <c r="AC32" s="165">
        <f>IF(AND(AC26&gt;AA26,$AL8&gt;8,$AL7&gt;1,ISNUMBER(AA26),ISNUMBER(AC26)),1,0)</f>
        <v>0</v>
      </c>
      <c r="AD32" s="164">
        <f>IF(AND(AD26&gt;AF26,$AL8&gt;9,$AL7&gt;1,ISNUMBER(AD26),ISNUMBER(AF26)),1,0)</f>
        <v>0</v>
      </c>
      <c r="AE32" s="164"/>
      <c r="AF32" s="165">
        <f>IF(AND(AF26&gt;AD26,$AL8&gt;9,$AL7&gt;1,ISNUMBER(AD26),ISNUMBER(AF26)),1,0)</f>
        <v>0</v>
      </c>
      <c r="AW32" s="166"/>
    </row>
    <row r="33" spans="1:49" s="115" customFormat="1" ht="12.75" hidden="1" customHeight="1">
      <c r="A33" s="115" t="s">
        <v>203</v>
      </c>
      <c r="B33" s="164">
        <f>IF(AND(B27&gt;D27,$AL8&gt;0,$AL7&gt;2,ISNUMBER(B27),ISNUMBER(D27)),1,0)</f>
        <v>0</v>
      </c>
      <c r="C33" s="164"/>
      <c r="D33" s="165">
        <f>IF(AND(D27&gt;B27,$AL8&gt;0,$AL7&gt;2,ISNUMBER(B27),ISNUMBER(D27)),1,0)</f>
        <v>0</v>
      </c>
      <c r="E33" s="164">
        <f>IF(AND(E27&gt;G27,$AL8&gt;1,$AL7&gt;2,ISNUMBER(E27),ISNUMBER(G27)),1,0)</f>
        <v>0</v>
      </c>
      <c r="F33" s="164"/>
      <c r="G33" s="165">
        <f>IF(AND(G27&gt;E27,$AL8&gt;1,$AL7&gt;2,ISNUMBER(E27),ISNUMBER(G27)),1,0)</f>
        <v>0</v>
      </c>
      <c r="H33" s="164">
        <f>IF(AND(H27&gt;J27,$AL8&gt;2,$AL7&gt;2,ISNUMBER(H27),ISNUMBER(J27)),1,0)</f>
        <v>0</v>
      </c>
      <c r="I33" s="164"/>
      <c r="J33" s="165">
        <f>IF(AND(J27&gt;H27,$AL8&gt;2,$AL7&gt;2,ISNUMBER(H27),ISNUMBER(J27)),1,0)</f>
        <v>0</v>
      </c>
      <c r="K33" s="168"/>
      <c r="L33" s="164">
        <f>IF(AND(L27&gt;N27,$AL8&gt;3,$AL7&gt;2,ISNUMBER(L27),ISNUMBER(N27)),1,0)</f>
        <v>0</v>
      </c>
      <c r="M33" s="164"/>
      <c r="N33" s="165">
        <f>IF(AND(N27&gt;L27,$AL8&gt;3,$AL7&gt;2,ISNUMBER(L27),ISNUMBER(N27)),1,0)</f>
        <v>0</v>
      </c>
      <c r="O33" s="164">
        <f>IF(AND(O27&gt;Q27,$AL8&gt;4,$AL7&gt;2,ISNUMBER(O27),ISNUMBER(Q27)),1,0)</f>
        <v>0</v>
      </c>
      <c r="P33" s="164"/>
      <c r="Q33" s="165">
        <f>IF(AND(Q27&gt;O27,$AL8&gt;4,$AL7&gt;2,ISNUMBER(O27),ISNUMBER(Q27)),1,0)</f>
        <v>0</v>
      </c>
      <c r="R33" s="164">
        <f>IF(AND(R27&gt;T27,$AL8&gt;5,$AL7&gt;2,ISNUMBER(R27),ISNUMBER(T27)),1,0)</f>
        <v>0</v>
      </c>
      <c r="S33" s="164"/>
      <c r="T33" s="165">
        <f>IF(AND(T27&gt;R27,$AL8&gt;5,$AL7&gt;2,ISNUMBER(R27),ISNUMBER(T27)),1,0)</f>
        <v>0</v>
      </c>
      <c r="U33" s="164">
        <f>IF(AND(U27&gt;W27,$AL8&gt;6,$AL7&gt;2,ISNUMBER(U27),ISNUMBER(W27)),1,0)</f>
        <v>0</v>
      </c>
      <c r="V33" s="164"/>
      <c r="W33" s="165">
        <f>IF(AND(W27&gt;U27,$AL8&gt;6,$AL7&gt;2,ISNUMBER(U27),ISNUMBER(W27)),1,0)</f>
        <v>0</v>
      </c>
      <c r="X33" s="164">
        <f>IF(AND(X27&gt;Z27,$AL8&gt;7,$AL7&gt;2,ISNUMBER(X27),ISNUMBER(Z27)),1,0)</f>
        <v>0</v>
      </c>
      <c r="Y33" s="164"/>
      <c r="Z33" s="165">
        <f>IF(AND(Z27&gt;X27,$AL8&gt;7,$AL7&gt;2,ISNUMBER(X27),ISNUMBER(Z27)),1,0)</f>
        <v>0</v>
      </c>
      <c r="AA33" s="164">
        <f>IF(AND(AA27&gt;AC27,$AL8&gt;8,$AL7&gt;2,ISNUMBER(AA27),ISNUMBER(AC27)),1,0)</f>
        <v>0</v>
      </c>
      <c r="AB33" s="164"/>
      <c r="AC33" s="165">
        <f>IF(AND(AC27&gt;AA27,$AL8&gt;8,$AL7&gt;2,ISNUMBER(AA27),ISNUMBER(AC27)),1,0)</f>
        <v>0</v>
      </c>
      <c r="AD33" s="164">
        <f>IF(AND(AD27&gt;AF27,$AL8&gt;9,$AL7&gt;2,ISNUMBER(AD27),ISNUMBER(AF27)),1,0)</f>
        <v>0</v>
      </c>
      <c r="AE33" s="164"/>
      <c r="AF33" s="165">
        <f>IF(AND(AF27&gt;AD27,$AL8&gt;9,$AL7&gt;2,ISNUMBER(AD27),ISNUMBER(AF27)),1,0)</f>
        <v>0</v>
      </c>
      <c r="AW33" s="166"/>
    </row>
    <row r="34" spans="1:49" s="115" customFormat="1" ht="12.75" hidden="1" customHeight="1">
      <c r="A34" s="115" t="s">
        <v>204</v>
      </c>
      <c r="B34" s="164">
        <f>IF(AND(B28&gt;D28,$AL8&gt;0,$AL7&gt;3,ISNUMBER(B28),ISNUMBER(D28)),1,0)</f>
        <v>0</v>
      </c>
      <c r="C34" s="164"/>
      <c r="D34" s="165">
        <f>IF(AND(D28&gt;B28,$AL8&gt;0,$AL7&gt;3,ISNUMBER(B28),ISNUMBER(D28)),1,0)</f>
        <v>0</v>
      </c>
      <c r="E34" s="164">
        <f>IF(AND(E28&gt;G28,$AL8&gt;1,$AL7&gt;3,ISNUMBER(E28),ISNUMBER(G28)),1,0)</f>
        <v>0</v>
      </c>
      <c r="F34" s="164"/>
      <c r="G34" s="165">
        <f>IF(AND(G28&gt;E28,$AL8&gt;1,$AL7&gt;3,ISNUMBER(E28),ISNUMBER(G28)),1,0)</f>
        <v>0</v>
      </c>
      <c r="H34" s="164">
        <f>IF(AND(H28&gt;J28,$AL8&gt;2,$AL7&gt;3,ISNUMBER(H28),ISNUMBER(J28)),1,0)</f>
        <v>0</v>
      </c>
      <c r="I34" s="164"/>
      <c r="J34" s="165">
        <f>IF(AND(J28&gt;H28,$AL8&gt;2,$AL7&gt;3,ISNUMBER(H28),ISNUMBER(J28)),1,0)</f>
        <v>0</v>
      </c>
      <c r="K34" s="168"/>
      <c r="L34" s="164">
        <f>IF(AND(L28&gt;N28,$AL8&gt;3,$AL7&gt;3,ISNUMBER(L28),ISNUMBER(N28)),1,0)</f>
        <v>0</v>
      </c>
      <c r="M34" s="164"/>
      <c r="N34" s="165">
        <f>IF(AND(N28&gt;L28,$AL8&gt;3,$AL7&gt;3,ISNUMBER(L28),ISNUMBER(N28)),1,0)</f>
        <v>0</v>
      </c>
      <c r="O34" s="164">
        <f>IF(AND(O28&gt;Q28,$AL8&gt;4,$AL7&gt;3,ISNUMBER(O28),ISNUMBER(Q28)),1,0)</f>
        <v>0</v>
      </c>
      <c r="P34" s="164"/>
      <c r="Q34" s="165">
        <f>IF(AND(Q28&gt;O28,$AL8&gt;4,$AL7&gt;3,ISNUMBER(O28),ISNUMBER(Q28)),1,0)</f>
        <v>0</v>
      </c>
      <c r="R34" s="164">
        <f>IF(AND(R28&gt;T28,$AL8&gt;5,$AL7&gt;3,ISNUMBER(R28),ISNUMBER(T28)),1,0)</f>
        <v>0</v>
      </c>
      <c r="S34" s="164"/>
      <c r="T34" s="165">
        <f>IF(AND(T28&gt;R28,$AL8&gt;5,$AL7&gt;3,ISNUMBER(R28),ISNUMBER(T28)),1,0)</f>
        <v>0</v>
      </c>
      <c r="U34" s="164">
        <f>IF(AND(U28&gt;W28,$AL8&gt;6,$AL7&gt;3,ISNUMBER(U28),ISNUMBER(W28)),1,0)</f>
        <v>0</v>
      </c>
      <c r="V34" s="164"/>
      <c r="W34" s="165">
        <f>IF(AND(W28&gt;U28,$AL8&gt;6,$AL7&gt;3,ISNUMBER(U28),ISNUMBER(W28)),1,0)</f>
        <v>0</v>
      </c>
      <c r="X34" s="164">
        <f>IF(AND(X28&gt;Z28,$AL8&gt;7,$AL7&gt;3,ISNUMBER(X28),ISNUMBER(Z28)),1,0)</f>
        <v>0</v>
      </c>
      <c r="Y34" s="164"/>
      <c r="Z34" s="165">
        <f>IF(AND(Z28&gt;X28,$AL8&gt;7,$AL7&gt;3,ISNUMBER(X28),ISNUMBER(Z28)),1,0)</f>
        <v>0</v>
      </c>
      <c r="AA34" s="164">
        <f>IF(AND(AA28&gt;AC28,$AL8&gt;8,$AL7&gt;3,ISNUMBER(AA28),ISNUMBER(AC28)),1,0)</f>
        <v>0</v>
      </c>
      <c r="AB34" s="164"/>
      <c r="AC34" s="165">
        <f>IF(AND(AC28&gt;AA28,$AL8&gt;8,$AL7&gt;3,ISNUMBER(AA28),ISNUMBER(AC28)),1,0)</f>
        <v>0</v>
      </c>
      <c r="AD34" s="164">
        <f>IF(AND(AD28&gt;AF28,$AL8&gt;9,$AL7&gt;3,ISNUMBER(AD28),ISNUMBER(AF28)),1,0)</f>
        <v>0</v>
      </c>
      <c r="AE34" s="164"/>
      <c r="AF34" s="165">
        <f>IF(AND(AF28&gt;AD28,$AL8&gt;9,$AL7&gt;3,ISNUMBER(AD28),ISNUMBER(AF28)),1,0)</f>
        <v>0</v>
      </c>
      <c r="AW34" s="166"/>
    </row>
    <row r="35" spans="1:49" s="115" customFormat="1" ht="12.75" hidden="1" customHeight="1">
      <c r="A35" s="115" t="s">
        <v>205</v>
      </c>
      <c r="B35" s="164">
        <f>IF(AND(B29&gt;D29,$AL8&gt;0,$AL7&gt;4,ISNUMBER(B29),ISNUMBER(D29)),1,0)</f>
        <v>0</v>
      </c>
      <c r="C35" s="164"/>
      <c r="D35" s="165">
        <f>IF(AND(D29&gt;B29,$AL8&gt;0,$AL7&gt;4,ISNUMBER(B29),ISNUMBER(D29)),1,0)</f>
        <v>0</v>
      </c>
      <c r="E35" s="164">
        <f>IF(AND(E29&gt;G29,$AL8&gt;1,$AL7&gt;4,ISNUMBER(E29),ISNUMBER(G29)),1,0)</f>
        <v>0</v>
      </c>
      <c r="F35" s="164"/>
      <c r="G35" s="165">
        <f>IF(AND(G29&gt;E29,$AL8&gt;1,$AL7&gt;4,ISNUMBER(E29),ISNUMBER(G29)),1,0)</f>
        <v>0</v>
      </c>
      <c r="H35" s="164">
        <f>IF(AND(H29&gt;J29,$AL8&gt;2,$AL7&gt;4,ISNUMBER(H29),ISNUMBER(J29)),1,0)</f>
        <v>0</v>
      </c>
      <c r="I35" s="164"/>
      <c r="J35" s="165">
        <f>IF(AND(J29&gt;H29,$AL8&gt;2,$AL7&gt;4,ISNUMBER(H29),ISNUMBER(J29)),1,0)</f>
        <v>0</v>
      </c>
      <c r="K35" s="168"/>
      <c r="L35" s="164">
        <f>IF(AND(L29&gt;N29,$AL8&gt;3,$AL7&gt;4,ISNUMBER(L29),ISNUMBER(N29)),1,0)</f>
        <v>0</v>
      </c>
      <c r="M35" s="164"/>
      <c r="N35" s="165">
        <f>IF(AND(N29&gt;L29,$AL8&gt;3,$AL7&gt;4,ISNUMBER(L29),ISNUMBER(N29)),1,0)</f>
        <v>0</v>
      </c>
      <c r="O35" s="164">
        <f>IF(AND(O29&gt;Q29,$AL8&gt;4,$AL7&gt;4,ISNUMBER(O29),ISNUMBER(Q29)),1,0)</f>
        <v>0</v>
      </c>
      <c r="P35" s="164"/>
      <c r="Q35" s="165">
        <f>IF(AND(Q29&gt;O29,$AL8&gt;4,$AL7&gt;4,ISNUMBER(O29),ISNUMBER(Q29)),1,0)</f>
        <v>0</v>
      </c>
      <c r="R35" s="164">
        <f>IF(AND(R29&gt;T29,$AL8&gt;5,$AL7&gt;4,ISNUMBER(R29),ISNUMBER(T29)),1,0)</f>
        <v>0</v>
      </c>
      <c r="S35" s="164"/>
      <c r="T35" s="165">
        <f>IF(AND(T29&gt;R29,$AL8&gt;5,$AL7&gt;4,ISNUMBER(R29),ISNUMBER(T29)),1,0)</f>
        <v>0</v>
      </c>
      <c r="U35" s="164">
        <f>IF(AND(U29&gt;W29,$AL8&gt;6,$AL7&gt;4,ISNUMBER(U29),ISNUMBER(W29)),1,0)</f>
        <v>0</v>
      </c>
      <c r="V35" s="164"/>
      <c r="W35" s="165">
        <f>IF(AND(W29&gt;U29,$AL8&gt;6,$AL7&gt;4,ISNUMBER(U29),ISNUMBER(W29)),1,0)</f>
        <v>0</v>
      </c>
      <c r="X35" s="164">
        <f>IF(AND(X29&gt;Z29,$AL8&gt;7,$AL7&gt;4,ISNUMBER(X29),ISNUMBER(Z29)),1,0)</f>
        <v>0</v>
      </c>
      <c r="Y35" s="164"/>
      <c r="Z35" s="165">
        <f>IF(AND(Z29&gt;X29,$AL8&gt;7,$AL7&gt;4,ISNUMBER(X29),ISNUMBER(Z29)),1,0)</f>
        <v>0</v>
      </c>
      <c r="AA35" s="164">
        <f>IF(AND(AA29&gt;AC29,$AL8&gt;8,$AL7&gt;4,ISNUMBER(AA29),ISNUMBER(AC29)),1,0)</f>
        <v>0</v>
      </c>
      <c r="AB35" s="164"/>
      <c r="AC35" s="165">
        <f>IF(AND(AC29&gt;AA29,$AL8&gt;8,$AL7&gt;4,ISNUMBER(AA29),ISNUMBER(AC29)),1,0)</f>
        <v>0</v>
      </c>
      <c r="AD35" s="164">
        <f>IF(AND(AD29&gt;AF29,$AL8&gt;9,$AL7&gt;4,ISNUMBER(AD29),ISNUMBER(AF29)),1,0)</f>
        <v>0</v>
      </c>
      <c r="AE35" s="164"/>
      <c r="AF35" s="165">
        <f>IF(AND(AF29&gt;AD29,$AL8&gt;9,$AL7&gt;4,ISNUMBER(AD29),ISNUMBER(AF29)),1,0)</f>
        <v>0</v>
      </c>
      <c r="AW35" s="166"/>
    </row>
    <row r="36" spans="1:49" s="115" customFormat="1" ht="38.25" hidden="1" customHeight="1">
      <c r="A36" s="167" t="s">
        <v>206</v>
      </c>
      <c r="B36" s="115">
        <f>SUM(B31:B35)</f>
        <v>1</v>
      </c>
      <c r="D36" s="168">
        <f>SUM(D31:D35)</f>
        <v>0</v>
      </c>
      <c r="E36" s="115">
        <f>SUM(E31:E35)</f>
        <v>1</v>
      </c>
      <c r="G36" s="168">
        <f>SUM(G31:G35)</f>
        <v>0</v>
      </c>
      <c r="H36" s="115">
        <f>SUM(H31:H35)</f>
        <v>1</v>
      </c>
      <c r="J36" s="168">
        <f>SUM(J31:J35)</f>
        <v>0</v>
      </c>
      <c r="K36" s="168"/>
      <c r="L36" s="115">
        <f>SUM(L31:L35)</f>
        <v>1</v>
      </c>
      <c r="N36" s="168">
        <f>SUM(N31:N35)</f>
        <v>0</v>
      </c>
      <c r="O36" s="115">
        <f>SUM(O31:O35)</f>
        <v>1</v>
      </c>
      <c r="Q36" s="168">
        <f>SUM(Q31:Q35)</f>
        <v>0</v>
      </c>
      <c r="R36" s="115">
        <f>SUM(R31:R35)</f>
        <v>1</v>
      </c>
      <c r="T36" s="168">
        <f>SUM(T31:T35)</f>
        <v>0</v>
      </c>
      <c r="U36" s="115">
        <f>SUM(U31:U35)</f>
        <v>0</v>
      </c>
      <c r="W36" s="168">
        <f>SUM(W31:W35)</f>
        <v>0</v>
      </c>
      <c r="X36" s="115">
        <f>SUM(X31:X35)</f>
        <v>0</v>
      </c>
      <c r="Z36" s="168">
        <f>SUM(Z31:Z35)</f>
        <v>0</v>
      </c>
      <c r="AA36" s="115">
        <f>SUM(AA31:AA35)</f>
        <v>0</v>
      </c>
      <c r="AC36" s="168">
        <f>SUM(AC31:AC35)</f>
        <v>0</v>
      </c>
      <c r="AD36" s="115">
        <f>SUM(AD31:AD35)</f>
        <v>0</v>
      </c>
      <c r="AF36" s="168">
        <f>SUM(AF31:AF35)</f>
        <v>0</v>
      </c>
      <c r="AW36" s="166"/>
    </row>
    <row r="37" spans="1:49" s="115" customFormat="1" ht="25.5" hidden="1" customHeight="1">
      <c r="A37" s="167" t="s">
        <v>207</v>
      </c>
      <c r="B37" s="115">
        <f>IF(B36&gt;D36,IF(C71=AL7,1,IF(C71=AL7-1,1,0)),0)</f>
        <v>1</v>
      </c>
      <c r="C37" s="115">
        <f>B37+D37</f>
        <v>1</v>
      </c>
      <c r="D37" s="168">
        <f>IF(D36&gt;B36,IF(C71=AL7,1,IF(C71=AL7-1,1,0)),0)</f>
        <v>0</v>
      </c>
      <c r="E37" s="115">
        <f>IF(E36&gt;G36,IF(F71=AL7,1,IF(F71=AL7-1,1,0)),0)</f>
        <v>1</v>
      </c>
      <c r="F37" s="115">
        <f>E37+G37</f>
        <v>1</v>
      </c>
      <c r="G37" s="168">
        <f>IF(G36&gt;E36,IF(F71=AL7,1,IF(F71=AL7-1,1,0)),0)</f>
        <v>0</v>
      </c>
      <c r="H37" s="115">
        <f>IF(H36&gt;J36,IF(I71=AL7,1,IF(I71=AL7-1,1,0)),0)</f>
        <v>1</v>
      </c>
      <c r="I37" s="115">
        <f>H37+J37</f>
        <v>1</v>
      </c>
      <c r="J37" s="168">
        <f>IF(J36&gt;H36,IF(I71=AL7,1,IF(I71=AL7-1,1,0)),0)</f>
        <v>0</v>
      </c>
      <c r="K37" s="168"/>
      <c r="L37" s="115">
        <f>IF(L36&gt;N36,IF(M71=AL7,1,IF(M71=AL7-1,1,0)),0)</f>
        <v>1</v>
      </c>
      <c r="M37" s="115">
        <f>L37+N37</f>
        <v>1</v>
      </c>
      <c r="N37" s="168">
        <f>IF(N36&gt;L36,IF(M71=AL7,1,IF(M71=AL7-1,1,0)),0)</f>
        <v>0</v>
      </c>
      <c r="O37" s="115">
        <f>IF(O36&gt;Q36,IF(P71=AL7,1,IF(P71=AL7-1,1,0)),0)</f>
        <v>1</v>
      </c>
      <c r="P37" s="115">
        <f>O37+Q37</f>
        <v>1</v>
      </c>
      <c r="Q37" s="168">
        <f>IF(Q36&gt;O36,IF(P71=AL7,1,IF(P71=AL7-1,1,0)),0)</f>
        <v>0</v>
      </c>
      <c r="R37" s="115">
        <f>IF(R36&gt;T36,IF(S71=AL7,1,IF(S71=AL7-1,1,0)),0)</f>
        <v>1</v>
      </c>
      <c r="S37" s="115">
        <f>R37+T37</f>
        <v>1</v>
      </c>
      <c r="T37" s="168">
        <f>IF(T36&gt;R36,IF(S71=AL7,1,IF(S71=AL7-1,1,0)),0)</f>
        <v>0</v>
      </c>
      <c r="U37" s="115">
        <f>IF(U36&gt;W36,IF(V71=AL7,1,IF(V71=AL7-1,1,0)),0)</f>
        <v>0</v>
      </c>
      <c r="V37" s="115">
        <f>U37+W37</f>
        <v>0</v>
      </c>
      <c r="W37" s="168">
        <f>IF(W36&gt;U36,IF(V71=AL7,1,IF(V71=AL7-1,1,0)),0)</f>
        <v>0</v>
      </c>
      <c r="X37" s="115">
        <f>IF(X36&gt;Z36,IF(Y71=AL7,1,IF(Y71=AL7-1,1,0)),0)</f>
        <v>0</v>
      </c>
      <c r="Y37" s="115">
        <f>X37+Z37</f>
        <v>0</v>
      </c>
      <c r="Z37" s="168">
        <f>IF(Z36&gt;X36,IF(Y71=AL7,1,IF(Y71=AL7-1,1,0)),0)</f>
        <v>0</v>
      </c>
      <c r="AA37" s="115">
        <f>IF(AA36&gt;AC36,IF(AB71=AL7,1,IF(AB71=AL7-1,1,0)),0)</f>
        <v>0</v>
      </c>
      <c r="AB37" s="115">
        <f>AA37+AC37</f>
        <v>0</v>
      </c>
      <c r="AC37" s="168">
        <f>IF(AC36&gt;AA36,IF(AB71=AL7,1,IF(AB71=AL7-1,1,0)),0)</f>
        <v>0</v>
      </c>
      <c r="AD37" s="115">
        <f>IF(AD36&gt;AF36,IF(AE71=AL7,1,IF(AE71=AL7-1,1,0)),0)</f>
        <v>0</v>
      </c>
      <c r="AE37" s="115">
        <f>AD37+AF37</f>
        <v>0</v>
      </c>
      <c r="AF37" s="168">
        <f>IF(AF36&gt;AD36,IF(AE71=AL7,1,IF(AE71=AL7-1,1,0)),0)</f>
        <v>0</v>
      </c>
      <c r="AW37" s="166"/>
    </row>
    <row r="38" spans="1:49" s="115" customFormat="1" ht="25.5" hidden="1" customHeight="1">
      <c r="A38" s="167"/>
      <c r="D38" s="168"/>
      <c r="G38" s="168"/>
      <c r="J38" s="168"/>
      <c r="K38" s="168"/>
      <c r="N38" s="168"/>
      <c r="Q38" s="168"/>
      <c r="T38" s="168"/>
      <c r="W38" s="168"/>
      <c r="Z38" s="168"/>
      <c r="AC38" s="168"/>
      <c r="AF38" s="168"/>
      <c r="AW38" s="166"/>
    </row>
    <row r="39" spans="1:49" s="115" customFormat="1" ht="12.75" hidden="1" customHeight="1">
      <c r="A39" s="115" t="s">
        <v>208</v>
      </c>
      <c r="B39" s="115">
        <f>IF(B31=1,B25,0)</f>
        <v>23</v>
      </c>
      <c r="D39" s="168">
        <f t="shared" ref="D39:E43" si="2">IF(D31=1,D25,0)</f>
        <v>0</v>
      </c>
      <c r="E39" s="115">
        <f t="shared" si="2"/>
        <v>23</v>
      </c>
      <c r="G39" s="168">
        <f t="shared" ref="G39:H43" si="3">IF(G31=1,G25,0)</f>
        <v>0</v>
      </c>
      <c r="H39" s="115">
        <f t="shared" si="3"/>
        <v>30</v>
      </c>
      <c r="J39" s="168">
        <f>IF(J31=1,J25,0)</f>
        <v>0</v>
      </c>
      <c r="K39" s="168"/>
      <c r="L39" s="115">
        <f>IF(L31=1,L25,0)</f>
        <v>23</v>
      </c>
      <c r="N39" s="168">
        <f t="shared" ref="N39:O43" si="4">IF(N31=1,N25,0)</f>
        <v>0</v>
      </c>
      <c r="O39" s="115">
        <f t="shared" si="4"/>
        <v>24</v>
      </c>
      <c r="Q39" s="168">
        <f t="shared" ref="Q39:R43" si="5">IF(Q31=1,Q25,0)</f>
        <v>0</v>
      </c>
      <c r="R39" s="115">
        <f t="shared" si="5"/>
        <v>25</v>
      </c>
      <c r="T39" s="168">
        <f t="shared" ref="T39:U43" si="6">IF(T31=1,T25,0)</f>
        <v>0</v>
      </c>
      <c r="U39" s="115">
        <f t="shared" si="6"/>
        <v>0</v>
      </c>
      <c r="W39" s="168">
        <f t="shared" ref="W39:X43" si="7">IF(W31=1,W25,0)</f>
        <v>0</v>
      </c>
      <c r="X39" s="115">
        <f t="shared" si="7"/>
        <v>0</v>
      </c>
      <c r="Z39" s="168">
        <f t="shared" ref="Z39:AA43" si="8">IF(Z31=1,Z25,0)</f>
        <v>0</v>
      </c>
      <c r="AA39" s="115">
        <f t="shared" si="8"/>
        <v>0</v>
      </c>
      <c r="AC39" s="168">
        <f t="shared" ref="AC39:AD43" si="9">IF(AC31=1,AC25,0)</f>
        <v>0</v>
      </c>
      <c r="AD39" s="115">
        <f t="shared" si="9"/>
        <v>0</v>
      </c>
      <c r="AF39" s="168">
        <f>IF(AF31=1,AF25,0)</f>
        <v>0</v>
      </c>
      <c r="AW39" s="166"/>
    </row>
    <row r="40" spans="1:49" s="115" customFormat="1" ht="12.75" hidden="1" customHeight="1">
      <c r="A40" s="115" t="s">
        <v>209</v>
      </c>
      <c r="B40" s="115">
        <f>IF(B32=1,B26,0)</f>
        <v>0</v>
      </c>
      <c r="D40" s="168">
        <f t="shared" si="2"/>
        <v>0</v>
      </c>
      <c r="E40" s="115">
        <f t="shared" si="2"/>
        <v>0</v>
      </c>
      <c r="G40" s="168">
        <f t="shared" si="3"/>
        <v>0</v>
      </c>
      <c r="H40" s="115">
        <f t="shared" si="3"/>
        <v>0</v>
      </c>
      <c r="J40" s="168">
        <f>IF(J32=1,J26,0)</f>
        <v>0</v>
      </c>
      <c r="K40" s="168"/>
      <c r="L40" s="115">
        <f>IF(L32=1,L26,0)</f>
        <v>0</v>
      </c>
      <c r="N40" s="168">
        <f t="shared" si="4"/>
        <v>0</v>
      </c>
      <c r="O40" s="115">
        <f t="shared" si="4"/>
        <v>0</v>
      </c>
      <c r="Q40" s="168">
        <f t="shared" si="5"/>
        <v>0</v>
      </c>
      <c r="R40" s="115">
        <f t="shared" si="5"/>
        <v>0</v>
      </c>
      <c r="T40" s="168">
        <f t="shared" si="6"/>
        <v>0</v>
      </c>
      <c r="U40" s="115">
        <f t="shared" si="6"/>
        <v>0</v>
      </c>
      <c r="W40" s="168">
        <f t="shared" si="7"/>
        <v>0</v>
      </c>
      <c r="X40" s="115">
        <f t="shared" si="7"/>
        <v>0</v>
      </c>
      <c r="Z40" s="168">
        <f t="shared" si="8"/>
        <v>0</v>
      </c>
      <c r="AA40" s="115">
        <f t="shared" si="8"/>
        <v>0</v>
      </c>
      <c r="AC40" s="168">
        <f t="shared" si="9"/>
        <v>0</v>
      </c>
      <c r="AD40" s="115">
        <f t="shared" si="9"/>
        <v>0</v>
      </c>
      <c r="AF40" s="168">
        <f>IF(AF32=1,AF26,0)</f>
        <v>0</v>
      </c>
      <c r="AW40" s="166"/>
    </row>
    <row r="41" spans="1:49" s="115" customFormat="1" ht="12.75" hidden="1" customHeight="1">
      <c r="A41" s="115" t="s">
        <v>210</v>
      </c>
      <c r="B41" s="115">
        <f>IF(B33=1,B27,0)</f>
        <v>0</v>
      </c>
      <c r="D41" s="168">
        <f t="shared" si="2"/>
        <v>0</v>
      </c>
      <c r="E41" s="115">
        <f t="shared" si="2"/>
        <v>0</v>
      </c>
      <c r="G41" s="168">
        <f t="shared" si="3"/>
        <v>0</v>
      </c>
      <c r="H41" s="115">
        <f t="shared" si="3"/>
        <v>0</v>
      </c>
      <c r="J41" s="168">
        <f>IF(J33=1,J27,0)</f>
        <v>0</v>
      </c>
      <c r="K41" s="168"/>
      <c r="L41" s="115">
        <f>IF(L33=1,L27,0)</f>
        <v>0</v>
      </c>
      <c r="N41" s="168">
        <f t="shared" si="4"/>
        <v>0</v>
      </c>
      <c r="O41" s="115">
        <f t="shared" si="4"/>
        <v>0</v>
      </c>
      <c r="Q41" s="168">
        <f t="shared" si="5"/>
        <v>0</v>
      </c>
      <c r="R41" s="115">
        <f t="shared" si="5"/>
        <v>0</v>
      </c>
      <c r="T41" s="168">
        <f t="shared" si="6"/>
        <v>0</v>
      </c>
      <c r="U41" s="115">
        <f t="shared" si="6"/>
        <v>0</v>
      </c>
      <c r="W41" s="168">
        <f t="shared" si="7"/>
        <v>0</v>
      </c>
      <c r="X41" s="115">
        <f t="shared" si="7"/>
        <v>0</v>
      </c>
      <c r="Z41" s="168">
        <f t="shared" si="8"/>
        <v>0</v>
      </c>
      <c r="AA41" s="115">
        <f t="shared" si="8"/>
        <v>0</v>
      </c>
      <c r="AC41" s="168">
        <f t="shared" si="9"/>
        <v>0</v>
      </c>
      <c r="AD41" s="115">
        <f t="shared" si="9"/>
        <v>0</v>
      </c>
      <c r="AF41" s="168">
        <f>IF(AF33=1,AF27,0)</f>
        <v>0</v>
      </c>
      <c r="AW41" s="166"/>
    </row>
    <row r="42" spans="1:49" s="115" customFormat="1" ht="12.75" hidden="1" customHeight="1">
      <c r="A42" s="115" t="s">
        <v>211</v>
      </c>
      <c r="B42" s="115">
        <f>IF(B34=1,B28,0)</f>
        <v>0</v>
      </c>
      <c r="D42" s="168">
        <f t="shared" si="2"/>
        <v>0</v>
      </c>
      <c r="E42" s="115">
        <f t="shared" si="2"/>
        <v>0</v>
      </c>
      <c r="G42" s="168">
        <f t="shared" si="3"/>
        <v>0</v>
      </c>
      <c r="H42" s="115">
        <f t="shared" si="3"/>
        <v>0</v>
      </c>
      <c r="J42" s="168">
        <f>IF(J34=1,J28,0)</f>
        <v>0</v>
      </c>
      <c r="K42" s="168"/>
      <c r="L42" s="115">
        <f>IF(L34=1,L28,0)</f>
        <v>0</v>
      </c>
      <c r="N42" s="168">
        <f t="shared" si="4"/>
        <v>0</v>
      </c>
      <c r="O42" s="115">
        <f t="shared" si="4"/>
        <v>0</v>
      </c>
      <c r="Q42" s="168">
        <f t="shared" si="5"/>
        <v>0</v>
      </c>
      <c r="R42" s="115">
        <f t="shared" si="5"/>
        <v>0</v>
      </c>
      <c r="T42" s="168">
        <f t="shared" si="6"/>
        <v>0</v>
      </c>
      <c r="U42" s="115">
        <f t="shared" si="6"/>
        <v>0</v>
      </c>
      <c r="W42" s="168">
        <f t="shared" si="7"/>
        <v>0</v>
      </c>
      <c r="X42" s="115">
        <f t="shared" si="7"/>
        <v>0</v>
      </c>
      <c r="Z42" s="168">
        <f t="shared" si="8"/>
        <v>0</v>
      </c>
      <c r="AA42" s="115">
        <f t="shared" si="8"/>
        <v>0</v>
      </c>
      <c r="AC42" s="168">
        <f t="shared" si="9"/>
        <v>0</v>
      </c>
      <c r="AD42" s="115">
        <f t="shared" si="9"/>
        <v>0</v>
      </c>
      <c r="AF42" s="168">
        <f>IF(AF34=1,AF28,0)</f>
        <v>0</v>
      </c>
      <c r="AW42" s="166"/>
    </row>
    <row r="43" spans="1:49" s="115" customFormat="1" ht="12.75" hidden="1" customHeight="1">
      <c r="A43" s="115" t="s">
        <v>212</v>
      </c>
      <c r="B43" s="115">
        <f>IF(B35=1,B29,0)</f>
        <v>0</v>
      </c>
      <c r="D43" s="168">
        <f t="shared" si="2"/>
        <v>0</v>
      </c>
      <c r="E43" s="115">
        <f t="shared" si="2"/>
        <v>0</v>
      </c>
      <c r="G43" s="168">
        <f t="shared" si="3"/>
        <v>0</v>
      </c>
      <c r="H43" s="115">
        <f t="shared" si="3"/>
        <v>0</v>
      </c>
      <c r="J43" s="168">
        <f>IF(J35=1,J29,0)</f>
        <v>0</v>
      </c>
      <c r="K43" s="168"/>
      <c r="L43" s="115">
        <f>IF(L35=1,L29,0)</f>
        <v>0</v>
      </c>
      <c r="N43" s="168">
        <f t="shared" si="4"/>
        <v>0</v>
      </c>
      <c r="O43" s="115">
        <f t="shared" si="4"/>
        <v>0</v>
      </c>
      <c r="Q43" s="168">
        <f t="shared" si="5"/>
        <v>0</v>
      </c>
      <c r="R43" s="115">
        <f t="shared" si="5"/>
        <v>0</v>
      </c>
      <c r="T43" s="168">
        <f t="shared" si="6"/>
        <v>0</v>
      </c>
      <c r="U43" s="115">
        <f t="shared" si="6"/>
        <v>0</v>
      </c>
      <c r="W43" s="168">
        <f t="shared" si="7"/>
        <v>0</v>
      </c>
      <c r="X43" s="115">
        <f t="shared" si="7"/>
        <v>0</v>
      </c>
      <c r="Z43" s="168">
        <f t="shared" si="8"/>
        <v>0</v>
      </c>
      <c r="AA43" s="115">
        <f t="shared" si="8"/>
        <v>0</v>
      </c>
      <c r="AC43" s="168">
        <f t="shared" si="9"/>
        <v>0</v>
      </c>
      <c r="AD43" s="115">
        <f t="shared" si="9"/>
        <v>0</v>
      </c>
      <c r="AF43" s="168">
        <f>IF(AF35=1,AF29,0)</f>
        <v>0</v>
      </c>
      <c r="AW43" s="166"/>
    </row>
    <row r="44" spans="1:49" s="115" customFormat="1" ht="38.25" hidden="1" customHeight="1">
      <c r="A44" s="167" t="s">
        <v>213</v>
      </c>
      <c r="B44" s="115">
        <f>SUM(B39:D43)</f>
        <v>23</v>
      </c>
      <c r="D44" s="168"/>
      <c r="E44" s="115">
        <f>SUM(E39:G43)</f>
        <v>23</v>
      </c>
      <c r="G44" s="168"/>
      <c r="H44" s="115">
        <f>SUM(H39:J43)</f>
        <v>30</v>
      </c>
      <c r="J44" s="168"/>
      <c r="K44" s="168"/>
      <c r="L44" s="115">
        <f>SUM(L39:N43)</f>
        <v>23</v>
      </c>
      <c r="N44" s="168"/>
      <c r="O44" s="115">
        <f>SUM(O39:Q43)</f>
        <v>24</v>
      </c>
      <c r="Q44" s="168"/>
      <c r="R44" s="115">
        <f>SUM(R39:T43)</f>
        <v>25</v>
      </c>
      <c r="T44" s="168"/>
      <c r="U44" s="115">
        <f>SUM(U39:W43)</f>
        <v>0</v>
      </c>
      <c r="W44" s="168"/>
      <c r="X44" s="115">
        <f>SUM(X39:Z43)</f>
        <v>0</v>
      </c>
      <c r="Z44" s="168"/>
      <c r="AA44" s="115">
        <f>SUM(AA39:AC43)</f>
        <v>0</v>
      </c>
      <c r="AC44" s="168"/>
      <c r="AD44" s="115">
        <f>SUM(AD39:AF43)</f>
        <v>0</v>
      </c>
      <c r="AF44" s="168"/>
      <c r="AW44" s="166"/>
    </row>
    <row r="45" spans="1:49" s="115" customFormat="1" ht="38.25" hidden="1" customHeight="1">
      <c r="A45" s="115" t="s">
        <v>214</v>
      </c>
      <c r="D45" s="168"/>
      <c r="G45" s="168"/>
      <c r="J45" s="168"/>
      <c r="K45" s="168"/>
      <c r="N45" s="168"/>
      <c r="Q45" s="168"/>
      <c r="T45" s="168"/>
      <c r="W45" s="168"/>
      <c r="Z45" s="168"/>
      <c r="AC45" s="168"/>
      <c r="AF45" s="168"/>
      <c r="AG45" s="167" t="s">
        <v>215</v>
      </c>
      <c r="AH45" s="115" t="s">
        <v>216</v>
      </c>
      <c r="AW45" s="166"/>
    </row>
    <row r="46" spans="1:49" s="115" customFormat="1" ht="12.75" hidden="1" customHeight="1">
      <c r="A46" s="115" t="s">
        <v>38</v>
      </c>
      <c r="B46" s="115">
        <f>IF(B24=1,IF(B37=1,1,0),0)</f>
        <v>0</v>
      </c>
      <c r="D46" s="168">
        <f>IF(D24=1,IF(D37=1,1,0),0)</f>
        <v>0</v>
      </c>
      <c r="E46" s="115">
        <f>IF(E24=1,IF(E37=1,1,0),0)</f>
        <v>1</v>
      </c>
      <c r="G46" s="168">
        <f>IF(G24=1,IF(G37=1,1,0),0)</f>
        <v>0</v>
      </c>
      <c r="H46" s="115">
        <f>IF(H24=1,IF(H37=1,1,0),0)</f>
        <v>0</v>
      </c>
      <c r="J46" s="168">
        <f>IF(J24=1,IF(J37=1,1,0),0)</f>
        <v>0</v>
      </c>
      <c r="K46" s="168"/>
      <c r="L46" s="115">
        <f>IF(L24=1,IF(L37=1,1,0),0)</f>
        <v>1</v>
      </c>
      <c r="N46" s="168">
        <f>IF(N24=1,IF(N37=1,1,0),0)</f>
        <v>0</v>
      </c>
      <c r="O46" s="115">
        <f>IF(O24=1,IF(O37=1,1,0),0)</f>
        <v>0</v>
      </c>
      <c r="Q46" s="168">
        <f>IF(Q24=1,IF(Q37=1,1,0),0)</f>
        <v>0</v>
      </c>
      <c r="R46" s="115">
        <f>IF(R24=1,IF(R37=1,1,0),0)</f>
        <v>1</v>
      </c>
      <c r="T46" s="168">
        <f>IF(T24=1,IF(T37=1,1,0),0)</f>
        <v>0</v>
      </c>
      <c r="U46" s="115">
        <f>IF(U24=1,IF(U37=1,1,0),0)</f>
        <v>0</v>
      </c>
      <c r="W46" s="168">
        <f>IF(W24=1,IF(W37=1,1,0),0)</f>
        <v>0</v>
      </c>
      <c r="X46" s="115">
        <f>IF(X24=1,IF(X37=1,1,0),0)</f>
        <v>0</v>
      </c>
      <c r="Z46" s="168">
        <f>IF(Z24=1,IF(Z37=1,1,0),0)</f>
        <v>0</v>
      </c>
      <c r="AA46" s="115">
        <f>IF(AA24=1,IF(AA37=1,1,0),0)</f>
        <v>0</v>
      </c>
      <c r="AC46" s="168">
        <f>IF(AC24=1,IF(AC37=1,1,0),0)</f>
        <v>0</v>
      </c>
      <c r="AD46" s="115">
        <f>IF(AD24=1,IF(AD37=1,1,0),0)</f>
        <v>0</v>
      </c>
      <c r="AF46" s="168">
        <f>IF(AF24=1,IF(AF37=1,1,0),0)</f>
        <v>0</v>
      </c>
      <c r="AG46" s="115">
        <f>SUM(B46:AF46)</f>
        <v>3</v>
      </c>
      <c r="AH46" s="115">
        <f>AG52-AG46</f>
        <v>0</v>
      </c>
      <c r="AW46" s="166"/>
    </row>
    <row r="47" spans="1:49" s="115" customFormat="1" ht="12.75" hidden="1" customHeight="1">
      <c r="A47" s="115" t="s">
        <v>39</v>
      </c>
      <c r="B47" s="115">
        <f>IF(B24=2,IF(B37=1,1,0),0)</f>
        <v>1</v>
      </c>
      <c r="D47" s="168">
        <f>IF(D24=2,IF(D37=1,1,0),0)</f>
        <v>0</v>
      </c>
      <c r="E47" s="115">
        <f>IF(E24=2,IF(E37=1,1,0),0)</f>
        <v>0</v>
      </c>
      <c r="G47" s="168">
        <f>IF(G24=2,IF(G37=1,1,0),0)</f>
        <v>0</v>
      </c>
      <c r="H47" s="115">
        <f>IF(H24=2,IF(H37=1,1,0),0)</f>
        <v>1</v>
      </c>
      <c r="J47" s="168">
        <f>IF(J24=2,IF(J37=1,1,0),0)</f>
        <v>0</v>
      </c>
      <c r="K47" s="168"/>
      <c r="L47" s="115">
        <f>IF(L24=2,IF(L37=1,1,0),0)</f>
        <v>0</v>
      </c>
      <c r="N47" s="168">
        <f>IF(N24=2,IF(N37=1,1,0),0)</f>
        <v>0</v>
      </c>
      <c r="O47" s="115">
        <f>IF(O24=2,IF(O37=1,1,0),0)</f>
        <v>0</v>
      </c>
      <c r="Q47" s="168">
        <f>IF(Q24=2,IF(Q37=1,1,0),0)</f>
        <v>0</v>
      </c>
      <c r="R47" s="115">
        <f>IF(R24=2,IF(R37=1,1,0),0)</f>
        <v>0</v>
      </c>
      <c r="T47" s="168">
        <f>IF(T24=2,IF(T37=1,1,0),0)</f>
        <v>0</v>
      </c>
      <c r="U47" s="115">
        <f>IF(U24=2,IF(U37=1,1,0),0)</f>
        <v>0</v>
      </c>
      <c r="W47" s="168">
        <f>IF(W24=2,IF(W37=1,1,0),0)</f>
        <v>0</v>
      </c>
      <c r="X47" s="115">
        <f>IF(X24=2,IF(X37=1,1,0),0)</f>
        <v>0</v>
      </c>
      <c r="Z47" s="168">
        <f>IF(Z24=2,IF(Z37=1,1,0),0)</f>
        <v>0</v>
      </c>
      <c r="AA47" s="115">
        <f>IF(AA24=2,IF(AA37=1,1,0),0)</f>
        <v>0</v>
      </c>
      <c r="AC47" s="168">
        <f>IF(AC24=2,IF(AC37=1,1,0),0)</f>
        <v>0</v>
      </c>
      <c r="AD47" s="115">
        <f>IF(AD24=2,IF(AD37=1,1,0),0)</f>
        <v>0</v>
      </c>
      <c r="AF47" s="168">
        <f>IF(AF24=2,IF(AF37=1,1,0),0)</f>
        <v>0</v>
      </c>
      <c r="AG47" s="115">
        <f>SUM(B47:AF47)</f>
        <v>2</v>
      </c>
      <c r="AH47" s="115">
        <f>AG53-AG47</f>
        <v>1</v>
      </c>
      <c r="AW47" s="166"/>
    </row>
    <row r="48" spans="1:49" s="115" customFormat="1" ht="12.75" hidden="1" customHeight="1">
      <c r="A48" s="115" t="s">
        <v>40</v>
      </c>
      <c r="B48" s="115">
        <f>IF(B24=3,IF(B37=1,1,0),0)</f>
        <v>0</v>
      </c>
      <c r="D48" s="168">
        <f>IF(D24=3,IF(D37=1,1,0),0)</f>
        <v>0</v>
      </c>
      <c r="E48" s="115">
        <f>IF(E24=3,IF(E37=1,1,0),0)</f>
        <v>0</v>
      </c>
      <c r="G48" s="168">
        <f>IF(G24=3,IF(G37=1,1,0),0)</f>
        <v>0</v>
      </c>
      <c r="H48" s="115">
        <f>IF(H24=3,IF(H37=1,1,0),0)</f>
        <v>0</v>
      </c>
      <c r="J48" s="168">
        <f>IF(J24=3,IF(J37=1,1,0),0)</f>
        <v>0</v>
      </c>
      <c r="K48" s="168"/>
      <c r="L48" s="115">
        <f>IF(L24=3,IF(L37=1,1,0),0)</f>
        <v>0</v>
      </c>
      <c r="N48" s="168">
        <f>IF(N24=3,IF(N37=1,1,0),0)</f>
        <v>0</v>
      </c>
      <c r="O48" s="115">
        <f>IF(O24=3,IF(O37=1,1,0),0)</f>
        <v>1</v>
      </c>
      <c r="Q48" s="168">
        <f>IF(Q24=3,IF(Q37=1,1,0),0)</f>
        <v>0</v>
      </c>
      <c r="R48" s="115">
        <f>IF(R24=3,IF(R37=1,1,0),0)</f>
        <v>0</v>
      </c>
      <c r="T48" s="168">
        <f>IF(T24=3,IF(T37=1,1,0),0)</f>
        <v>0</v>
      </c>
      <c r="U48" s="115">
        <f>IF(U24=3,IF(U37=1,1,0),0)</f>
        <v>0</v>
      </c>
      <c r="W48" s="168">
        <f>IF(W24=3,IF(W37=1,1,0),0)</f>
        <v>0</v>
      </c>
      <c r="X48" s="115">
        <f>IF(X24=3,IF(X37=1,1,0),0)</f>
        <v>0</v>
      </c>
      <c r="Z48" s="168">
        <f>IF(Z24=3,IF(Z37=1,1,0),0)</f>
        <v>0</v>
      </c>
      <c r="AA48" s="115">
        <f>IF(AA24=3,IF(AA37=1,1,0),0)</f>
        <v>0</v>
      </c>
      <c r="AC48" s="168">
        <f>IF(AC24=3,IF(AC37=1,1,0),0)</f>
        <v>0</v>
      </c>
      <c r="AD48" s="115">
        <f>IF(AD24=3,IF(AD37=1,1,0),0)</f>
        <v>0</v>
      </c>
      <c r="AF48" s="168">
        <f>IF(AF24=3,IF(AF37=1,1,0),0)</f>
        <v>0</v>
      </c>
      <c r="AG48" s="115">
        <f>SUM(B48:AF48)</f>
        <v>1</v>
      </c>
      <c r="AH48" s="115">
        <f>AG54-AG48</f>
        <v>2</v>
      </c>
      <c r="AW48" s="166"/>
    </row>
    <row r="49" spans="1:49" s="115" customFormat="1" ht="12.75" hidden="1" customHeight="1">
      <c r="A49" s="115" t="s">
        <v>41</v>
      </c>
      <c r="B49" s="115">
        <f>IF(B24=4,IF(B37=1,1,0),0)</f>
        <v>0</v>
      </c>
      <c r="D49" s="168">
        <f>IF(D24=4,IF(D37=1,1,0),0)</f>
        <v>0</v>
      </c>
      <c r="E49" s="115">
        <f>IF(E24=4,IF(E37=1,1,0),0)</f>
        <v>0</v>
      </c>
      <c r="G49" s="168">
        <f>IF(G24=4,IF(G37=1,1,0),0)</f>
        <v>0</v>
      </c>
      <c r="H49" s="115">
        <f>IF(H24=4,IF(H37=1,1,0),0)</f>
        <v>0</v>
      </c>
      <c r="J49" s="168">
        <f>IF(J24=4,IF(J37=1,1,0),0)</f>
        <v>0</v>
      </c>
      <c r="K49" s="168"/>
      <c r="L49" s="115">
        <f>IF(L24=4,IF(L37=1,1,0),0)</f>
        <v>0</v>
      </c>
      <c r="N49" s="168">
        <f>IF(N24=4,IF(N37=1,1,0),0)</f>
        <v>0</v>
      </c>
      <c r="O49" s="115">
        <f>IF(O24=4,IF(O37=1,1,0),0)</f>
        <v>0</v>
      </c>
      <c r="Q49" s="168">
        <f>IF(Q24=4,IF(Q37=1,1,0),0)</f>
        <v>0</v>
      </c>
      <c r="R49" s="115">
        <f>IF(R24=4,IF(R37=1,1,0),0)</f>
        <v>0</v>
      </c>
      <c r="T49" s="168">
        <f>IF(T24=4,IF(T37=1,1,0),0)</f>
        <v>0</v>
      </c>
      <c r="U49" s="115">
        <f>IF(U24=4,IF(U37=1,1,0),0)</f>
        <v>0</v>
      </c>
      <c r="W49" s="168">
        <f>IF(W24=4,IF(W37=1,1,0),0)</f>
        <v>0</v>
      </c>
      <c r="X49" s="115">
        <f>IF(X24=4,IF(X37=1,1,0),0)</f>
        <v>0</v>
      </c>
      <c r="Z49" s="168">
        <f>IF(Z24=4,IF(Z37=1,1,0),0)</f>
        <v>0</v>
      </c>
      <c r="AA49" s="115">
        <f>IF(AA24=4,IF(AA37=1,1,0),0)</f>
        <v>0</v>
      </c>
      <c r="AC49" s="168">
        <f>IF(AC24=4,IF(AC37=1,1,0),0)</f>
        <v>0</v>
      </c>
      <c r="AD49" s="115">
        <f>IF(AD24=4,IF(AD37=1,1,0),0)</f>
        <v>0</v>
      </c>
      <c r="AF49" s="168">
        <f>IF(AF24=4,IF(AF37=1,1,0),0)</f>
        <v>0</v>
      </c>
      <c r="AG49" s="115">
        <f>SUM(B49:AF49)</f>
        <v>0</v>
      </c>
      <c r="AH49" s="115">
        <f>AG55-AG49</f>
        <v>3</v>
      </c>
      <c r="AW49" s="166"/>
    </row>
    <row r="50" spans="1:49" s="115" customFormat="1" ht="12.75" hidden="1" customHeight="1">
      <c r="A50" s="115" t="s">
        <v>42</v>
      </c>
      <c r="B50" s="115">
        <f>IF(B24=5,IF(B37=1,1,0),0)</f>
        <v>0</v>
      </c>
      <c r="D50" s="168">
        <f>IF(D24=5,IF(D37=1,1,0),0)</f>
        <v>0</v>
      </c>
      <c r="E50" s="115">
        <f>IF(E24=5,IF(E37=1,1,0),0)</f>
        <v>0</v>
      </c>
      <c r="G50" s="168">
        <f>IF(G24=5,IF(G37=1,1,0),0)</f>
        <v>0</v>
      </c>
      <c r="H50" s="115">
        <f>IF(H24=5,IF(H37=1,1,0),0)</f>
        <v>0</v>
      </c>
      <c r="J50" s="168">
        <f>IF(J24=5,IF(J37=1,1,0),0)</f>
        <v>0</v>
      </c>
      <c r="K50" s="168"/>
      <c r="L50" s="115">
        <f>IF(L24=5,IF(L37=1,1,0),0)</f>
        <v>0</v>
      </c>
      <c r="N50" s="168">
        <f>IF(N24=5,IF(N37=1,1,0),0)</f>
        <v>0</v>
      </c>
      <c r="O50" s="115">
        <f>IF(O24=5,IF(O37=1,1,0),0)</f>
        <v>0</v>
      </c>
      <c r="Q50" s="168">
        <f>IF(Q24=5,IF(Q37=1,1,0),0)</f>
        <v>0</v>
      </c>
      <c r="R50" s="115">
        <f>IF(R24=5,IF(R37=1,1,0),0)</f>
        <v>0</v>
      </c>
      <c r="T50" s="168">
        <f>IF(T24=5,IF(T37=1,1,0),0)</f>
        <v>0</v>
      </c>
      <c r="U50" s="115">
        <f>IF(U24=5,IF(U37=1,1,0),0)</f>
        <v>0</v>
      </c>
      <c r="W50" s="168">
        <f>IF(W24=5,IF(W37=1,1,0),0)</f>
        <v>0</v>
      </c>
      <c r="X50" s="115">
        <f>IF(X24=5,IF(X37=1,1,0),0)</f>
        <v>0</v>
      </c>
      <c r="Z50" s="168">
        <f>IF(Z24=5,IF(Z37=1,1,0),0)</f>
        <v>0</v>
      </c>
      <c r="AA50" s="115">
        <f>IF(AA24=5,IF(AA37=1,1,0),0)</f>
        <v>0</v>
      </c>
      <c r="AC50" s="168">
        <f>IF(AC24=5,IF(AC37=1,1,0),0)</f>
        <v>0</v>
      </c>
      <c r="AD50" s="115">
        <f>IF(AD24=5,IF(AD37=1,1,0),0)</f>
        <v>0</v>
      </c>
      <c r="AF50" s="168">
        <f>IF(AF24=5,IF(AF37=1,1,0),0)</f>
        <v>0</v>
      </c>
      <c r="AG50" s="115">
        <f>SUM(B50:AF50)</f>
        <v>0</v>
      </c>
      <c r="AH50" s="115">
        <f>AG56-AG50</f>
        <v>0</v>
      </c>
      <c r="AW50" s="166"/>
    </row>
    <row r="51" spans="1:49" s="115" customFormat="1" ht="38.25" hidden="1" customHeight="1">
      <c r="A51" s="167"/>
      <c r="D51" s="168"/>
      <c r="G51" s="168"/>
      <c r="J51" s="168"/>
      <c r="K51" s="168"/>
      <c r="N51" s="168"/>
      <c r="Q51" s="168"/>
      <c r="T51" s="168"/>
      <c r="W51" s="168"/>
      <c r="Z51" s="168"/>
      <c r="AC51" s="168"/>
      <c r="AF51" s="168"/>
      <c r="AG51" s="167" t="s">
        <v>217</v>
      </c>
      <c r="AW51" s="166"/>
    </row>
    <row r="52" spans="1:49" s="115" customFormat="1" ht="12.75" hidden="1" customHeight="1">
      <c r="A52" s="115" t="s">
        <v>43</v>
      </c>
      <c r="B52" s="115">
        <f>IF(B24=1,IF(C37=1,1,0),0)</f>
        <v>0</v>
      </c>
      <c r="D52" s="168">
        <f>IF(D24=1,IF(C37=1,1,0),0)</f>
        <v>0</v>
      </c>
      <c r="E52" s="115">
        <f>IF(E24=1,IF(F37=1,1,0),0)</f>
        <v>1</v>
      </c>
      <c r="G52" s="168">
        <f>IF(G24=1,IF(F37=1,1,0),0)</f>
        <v>0</v>
      </c>
      <c r="H52" s="115">
        <f>IF(H24=1,IF(I37=1,1,0),0)</f>
        <v>0</v>
      </c>
      <c r="J52" s="168">
        <f>IF(J24=1,IF(I37=1,1,0),0)</f>
        <v>0</v>
      </c>
      <c r="K52" s="168"/>
      <c r="L52" s="115">
        <f>IF(L24=1,IF(M37=1,1,0),0)</f>
        <v>1</v>
      </c>
      <c r="N52" s="168">
        <f>IF(N24=1,IF(M37=1,1,0),0)</f>
        <v>0</v>
      </c>
      <c r="O52" s="115">
        <f>IF(O24=1,IF(P37=1,1,0),0)</f>
        <v>0</v>
      </c>
      <c r="Q52" s="168">
        <f>IF(Q24=1,IF(P37=1,1,0),0)</f>
        <v>0</v>
      </c>
      <c r="R52" s="115">
        <f>IF(R24=1,IF(S37=1,1,0),0)</f>
        <v>1</v>
      </c>
      <c r="T52" s="168">
        <f>IF(T24=1,IF(S37=1,1,0),0)</f>
        <v>0</v>
      </c>
      <c r="U52" s="115">
        <f>IF(U24=1,IF(V37=1,1,0),0)</f>
        <v>0</v>
      </c>
      <c r="W52" s="168">
        <f>IF(W24=1,IF(V37=1,1,0),0)</f>
        <v>0</v>
      </c>
      <c r="X52" s="115">
        <f>IF(X24=1,IF(Y37=1,1,0),0)</f>
        <v>0</v>
      </c>
      <c r="Z52" s="168">
        <f>IF(Z24=1,IF(Y37=1,1,0),0)</f>
        <v>0</v>
      </c>
      <c r="AA52" s="115">
        <f>IF(AA24=1,IF(AB37=1,1,0),0)</f>
        <v>0</v>
      </c>
      <c r="AC52" s="168">
        <f>IF(AC24=1,IF(AB37=1,1,0),0)</f>
        <v>0</v>
      </c>
      <c r="AD52" s="115">
        <f>IF(AD24=1,IF(AE37=1,1,0),0)</f>
        <v>0</v>
      </c>
      <c r="AF52" s="168">
        <f>IF(AF24=1,IF(AE37=1,1,0),0)</f>
        <v>0</v>
      </c>
      <c r="AG52" s="115">
        <f>SUM(B52:AF52)</f>
        <v>3</v>
      </c>
      <c r="AW52" s="166"/>
    </row>
    <row r="53" spans="1:49" s="115" customFormat="1" ht="12.75" hidden="1" customHeight="1">
      <c r="A53" s="115" t="s">
        <v>44</v>
      </c>
      <c r="B53" s="115">
        <f>IF(B24=2,IF(C37=1,1,0),0)</f>
        <v>1</v>
      </c>
      <c r="D53" s="168">
        <f>IF(D24=2,IF(C37=1,1,0),0)</f>
        <v>0</v>
      </c>
      <c r="E53" s="115">
        <f>IF(E24=2,IF(F37=1,1,0),0)</f>
        <v>0</v>
      </c>
      <c r="G53" s="168">
        <f>IF(G24=2,IF(F37=1,1,0),0)</f>
        <v>0</v>
      </c>
      <c r="H53" s="115">
        <f>IF(H24=2,IF(I37=1,1,0),0)</f>
        <v>1</v>
      </c>
      <c r="J53" s="168">
        <f>IF(J24=2,IF(I37=1,1,0),0)</f>
        <v>0</v>
      </c>
      <c r="K53" s="168"/>
      <c r="L53" s="115">
        <f>IF(L24=2,IF(M37=1,1,0),0)</f>
        <v>0</v>
      </c>
      <c r="N53" s="168">
        <f>IF(N24=2,IF(M37=1,1,0),0)</f>
        <v>0</v>
      </c>
      <c r="O53" s="115">
        <f>IF(O24=2,IF(P37=1,1,0),0)</f>
        <v>0</v>
      </c>
      <c r="Q53" s="168">
        <f>IF(Q24=2,IF(P37=1,1,0),0)</f>
        <v>0</v>
      </c>
      <c r="R53" s="115">
        <f>IF(R24=2,IF(S37=1,1,0),0)</f>
        <v>0</v>
      </c>
      <c r="T53" s="168">
        <f>IF(T24=2,IF(S37=1,1,0),0)</f>
        <v>1</v>
      </c>
      <c r="U53" s="115">
        <f>IF(U24=2,IF(V37=1,1,0),0)</f>
        <v>0</v>
      </c>
      <c r="W53" s="168">
        <f>IF(W24=2,IF(V37=1,1,0),0)</f>
        <v>0</v>
      </c>
      <c r="X53" s="115">
        <f>IF(X24=2,IF(Y37=1,1,0),0)</f>
        <v>0</v>
      </c>
      <c r="Z53" s="168">
        <f>IF(Z24=2,IF(Y37=1,1,0),0)</f>
        <v>0</v>
      </c>
      <c r="AA53" s="115">
        <f>IF(AA24=2,IF(AB37=1,1,0),0)</f>
        <v>0</v>
      </c>
      <c r="AC53" s="168">
        <f>IF(AC24=2,IF(AB37=1,1,0),0)</f>
        <v>0</v>
      </c>
      <c r="AD53" s="115">
        <f>IF(AD24=2,IF(AE37=1,1,0),0)</f>
        <v>0</v>
      </c>
      <c r="AF53" s="168">
        <f>IF(AF24=2,IF(AE37=1,1,0),0)</f>
        <v>0</v>
      </c>
      <c r="AG53" s="115">
        <f>SUM(B53:AF53)</f>
        <v>3</v>
      </c>
      <c r="AW53" s="166"/>
    </row>
    <row r="54" spans="1:49" s="115" customFormat="1" ht="12.75" hidden="1" customHeight="1">
      <c r="A54" s="115" t="s">
        <v>45</v>
      </c>
      <c r="B54" s="115">
        <f>IF(B24=3,IF(C37=1,1,0),0)</f>
        <v>0</v>
      </c>
      <c r="D54" s="168">
        <f>IF(D24=3,IF(C37=1,1,0),0)</f>
        <v>1</v>
      </c>
      <c r="E54" s="115">
        <f>IF(E24=3,IF(F37=1,1,0),0)</f>
        <v>0</v>
      </c>
      <c r="G54" s="168">
        <f>IF(G24=3,IF(F37=1,1,0),0)</f>
        <v>0</v>
      </c>
      <c r="H54" s="115">
        <f>IF(H24=3,IF(I37=1,1,0),0)</f>
        <v>0</v>
      </c>
      <c r="J54" s="168">
        <f>IF(J24=3,IF(I37=1,1,0),0)</f>
        <v>0</v>
      </c>
      <c r="K54" s="168"/>
      <c r="L54" s="115">
        <f>IF(L24=3,IF(M37=1,1,0),0)</f>
        <v>0</v>
      </c>
      <c r="N54" s="168">
        <f>IF(N24=3,IF(M37=1,1,0),0)</f>
        <v>1</v>
      </c>
      <c r="O54" s="115">
        <f>IF(O24=3,IF(P37=1,1,0),0)</f>
        <v>1</v>
      </c>
      <c r="Q54" s="168">
        <f>IF(Q24=3,IF(P37=1,1,0),0)</f>
        <v>0</v>
      </c>
      <c r="R54" s="115">
        <f>IF(R24=3,IF(S37=1,1,0),0)</f>
        <v>0</v>
      </c>
      <c r="T54" s="168">
        <f>IF(T24=3,IF(S37=1,1,0),0)</f>
        <v>0</v>
      </c>
      <c r="U54" s="115">
        <f>IF(U24=3,IF(V37=1,1,0),0)</f>
        <v>0</v>
      </c>
      <c r="W54" s="168">
        <f>IF(W24=3,IF(V37=1,1,0),0)</f>
        <v>0</v>
      </c>
      <c r="X54" s="115">
        <f>IF(X24=3,IF(Y37=1,1,0),0)</f>
        <v>0</v>
      </c>
      <c r="Z54" s="168">
        <f>IF(Z24=3,IF(Y37=1,1,0),0)</f>
        <v>0</v>
      </c>
      <c r="AA54" s="115">
        <f>IF(AA24=3,IF(AB37=1,1,0),0)</f>
        <v>0</v>
      </c>
      <c r="AC54" s="168">
        <f>IF(AC24=3,IF(AB37=1,1,0),0)</f>
        <v>0</v>
      </c>
      <c r="AD54" s="115">
        <f>IF(AD24=3,IF(AE37=1,1,0),0)</f>
        <v>0</v>
      </c>
      <c r="AF54" s="168">
        <f>IF(AF24=3,IF(AE37=1,1,0),0)</f>
        <v>0</v>
      </c>
      <c r="AG54" s="115">
        <f>SUM(B54:AF54)</f>
        <v>3</v>
      </c>
      <c r="AW54" s="166"/>
    </row>
    <row r="55" spans="1:49" s="115" customFormat="1" ht="12.75" hidden="1" customHeight="1">
      <c r="A55" s="115" t="s">
        <v>46</v>
      </c>
      <c r="B55" s="115">
        <f>IF(B24=4,IF(C37=1,1,0),0)</f>
        <v>0</v>
      </c>
      <c r="D55" s="168">
        <f>IF(D24=4,IF(C37=1,1,0),0)</f>
        <v>0</v>
      </c>
      <c r="E55" s="115">
        <f>IF(E24=4,IF(F37=1,1,0),0)</f>
        <v>0</v>
      </c>
      <c r="G55" s="168">
        <f>IF(G24=4,IF(F37=1,1,0),0)</f>
        <v>1</v>
      </c>
      <c r="H55" s="115">
        <f>IF(H24=4,IF(I37=1,1,0),0)</f>
        <v>0</v>
      </c>
      <c r="J55" s="168">
        <f>IF(J24=4,IF(I37=1,1,0),0)</f>
        <v>1</v>
      </c>
      <c r="K55" s="168"/>
      <c r="L55" s="115">
        <f>IF(L24=4,IF(M37=1,1,0),0)</f>
        <v>0</v>
      </c>
      <c r="N55" s="168">
        <f>IF(N24=4,IF(M37=1,1,0),0)</f>
        <v>0</v>
      </c>
      <c r="O55" s="115">
        <f>IF(O24=4,IF(P37=1,1,0),0)</f>
        <v>0</v>
      </c>
      <c r="Q55" s="168">
        <f>IF(Q24=4,IF(P37=1,1,0),0)</f>
        <v>1</v>
      </c>
      <c r="R55" s="115">
        <f>IF(R24=4,IF(S37=1,1,0),0)</f>
        <v>0</v>
      </c>
      <c r="T55" s="168">
        <f>IF(T24=4,IF(S37=1,1,0),0)</f>
        <v>0</v>
      </c>
      <c r="U55" s="115">
        <f>IF(U24=4,IF(V37=1,1,0),0)</f>
        <v>0</v>
      </c>
      <c r="W55" s="168">
        <f>IF(W24=4,IF(V37=1,1,0),0)</f>
        <v>0</v>
      </c>
      <c r="X55" s="115">
        <f>IF(X24=4,IF(Y37=1,1,0),0)</f>
        <v>0</v>
      </c>
      <c r="Z55" s="168">
        <f>IF(Z24=4,IF(Y37=1,1,0),0)</f>
        <v>0</v>
      </c>
      <c r="AA55" s="115">
        <f>IF(AA24=4,IF(AB37=1,1,0),0)</f>
        <v>0</v>
      </c>
      <c r="AC55" s="168">
        <f>IF(AC24=4,IF(AB37=1,1,0),0)</f>
        <v>0</v>
      </c>
      <c r="AD55" s="115">
        <f>IF(AD24=4,IF(AE37=1,1,0),0)</f>
        <v>0</v>
      </c>
      <c r="AF55" s="168">
        <f>IF(AF24=4,IF(AE37=1,1,0),0)</f>
        <v>0</v>
      </c>
      <c r="AG55" s="115">
        <f>SUM(B55:AF55)</f>
        <v>3</v>
      </c>
      <c r="AW55" s="166"/>
    </row>
    <row r="56" spans="1:49" s="115" customFormat="1" ht="12.75" hidden="1" customHeight="1">
      <c r="A56" s="115" t="s">
        <v>47</v>
      </c>
      <c r="B56" s="115">
        <f>IF(B24=5,IF(C37=1,1,0),0)</f>
        <v>0</v>
      </c>
      <c r="D56" s="168">
        <f>IF(D24=5,IF(C37=1,1,0),0)</f>
        <v>0</v>
      </c>
      <c r="E56" s="115">
        <f>IF(E24=5,IF(F37=1,1,0),0)</f>
        <v>0</v>
      </c>
      <c r="G56" s="168">
        <f>IF(G24=5,IF(F37=1,1,0),0)</f>
        <v>0</v>
      </c>
      <c r="H56" s="115">
        <f>IF(H24=5,IF(I37=1,1,0),0)</f>
        <v>0</v>
      </c>
      <c r="J56" s="168">
        <f>IF(J24=5,IF(I37=1,1,0),0)</f>
        <v>0</v>
      </c>
      <c r="K56" s="168"/>
      <c r="L56" s="115">
        <f>IF(L24=5,IF(M37=1,1,0),0)</f>
        <v>0</v>
      </c>
      <c r="N56" s="168">
        <f>IF(N24=5,IF(M37=1,1,0),0)</f>
        <v>0</v>
      </c>
      <c r="O56" s="115">
        <f>IF(O24=5,IF(P37=1,1,0),0)</f>
        <v>0</v>
      </c>
      <c r="Q56" s="168">
        <f>IF(Q24=5,IF(P37=1,1,0),0)</f>
        <v>0</v>
      </c>
      <c r="R56" s="115">
        <f>IF(R24=5,IF(S37=1,1,0),0)</f>
        <v>0</v>
      </c>
      <c r="T56" s="168">
        <f>IF(T24=5,IF(S37=1,1,0),0)</f>
        <v>0</v>
      </c>
      <c r="U56" s="115">
        <f>IF(U24=5,IF(V37=1,1,0),0)</f>
        <v>0</v>
      </c>
      <c r="W56" s="168">
        <f>IF(W24=5,IF(V37=1,1,0),0)</f>
        <v>0</v>
      </c>
      <c r="X56" s="115">
        <f>IF(X24=5,IF(Y37=1,1,0),0)</f>
        <v>0</v>
      </c>
      <c r="Z56" s="168">
        <f>IF(Z24=5,IF(Y37=1,1,0),0)</f>
        <v>0</v>
      </c>
      <c r="AA56" s="115">
        <f>IF(AA24=5,IF(AB37=1,1,0),0)</f>
        <v>0</v>
      </c>
      <c r="AC56" s="168">
        <f>IF(AC24=5,IF(AB37=1,1,0),0)</f>
        <v>0</v>
      </c>
      <c r="AD56" s="115">
        <f>IF(AD24=5,IF(AE37=1,1,0),0)</f>
        <v>0</v>
      </c>
      <c r="AF56" s="168">
        <f>IF(AF24=5,IF(AE37=1,1,0),0)</f>
        <v>0</v>
      </c>
      <c r="AG56" s="115">
        <f>SUM(B56:AF56)</f>
        <v>0</v>
      </c>
      <c r="AW56" s="166"/>
    </row>
    <row r="57" spans="1:49" s="115" customFormat="1" ht="38.25" hidden="1" customHeight="1">
      <c r="A57" s="167"/>
      <c r="D57" s="168"/>
      <c r="G57" s="168"/>
      <c r="J57" s="168"/>
      <c r="K57" s="168"/>
      <c r="N57" s="168"/>
      <c r="Q57" s="168"/>
      <c r="T57" s="168"/>
      <c r="W57" s="168"/>
      <c r="Z57" s="168"/>
      <c r="AC57" s="168"/>
      <c r="AF57" s="168"/>
      <c r="AG57" s="167" t="s">
        <v>218</v>
      </c>
      <c r="AH57" s="392"/>
      <c r="AI57" s="392"/>
      <c r="AJ57" s="392"/>
      <c r="AK57" s="392"/>
      <c r="AL57" s="392"/>
      <c r="AW57" s="166"/>
    </row>
    <row r="58" spans="1:49" s="115" customFormat="1" ht="12.75" hidden="1" customHeight="1">
      <c r="A58" s="115" t="s">
        <v>43</v>
      </c>
      <c r="B58" s="115">
        <f>IF(B24=1,B44,0)</f>
        <v>0</v>
      </c>
      <c r="D58" s="168">
        <f>IF(D24=1,B44,0)</f>
        <v>0</v>
      </c>
      <c r="E58" s="115">
        <f>IF(E24=1,E44,0)</f>
        <v>23</v>
      </c>
      <c r="G58" s="168">
        <f>IF(G24=1,E44,0)</f>
        <v>0</v>
      </c>
      <c r="H58" s="115">
        <f>IF(H24=1,H44,0)</f>
        <v>0</v>
      </c>
      <c r="J58" s="168">
        <f>IF(J24=1,H44,0)</f>
        <v>0</v>
      </c>
      <c r="K58" s="168"/>
      <c r="L58" s="115">
        <f>IF(L24=1,L44,0)</f>
        <v>23</v>
      </c>
      <c r="N58" s="168">
        <f>IF(N24=1,L44,0)</f>
        <v>0</v>
      </c>
      <c r="O58" s="115">
        <f>IF(O24=1,O44,0)</f>
        <v>0</v>
      </c>
      <c r="Q58" s="168">
        <f>IF(Q24=1,O44,0)</f>
        <v>0</v>
      </c>
      <c r="R58" s="115">
        <f>IF(R24=1,R44,0)</f>
        <v>25</v>
      </c>
      <c r="T58" s="168">
        <f>IF(T24=1,R44,0)</f>
        <v>0</v>
      </c>
      <c r="U58" s="115">
        <f>IF(U24=1,U44,0)</f>
        <v>0</v>
      </c>
      <c r="W58" s="168">
        <f>IF(W24=1,U44,0)</f>
        <v>0</v>
      </c>
      <c r="X58" s="115">
        <f>IF(X24=1,X44,0)</f>
        <v>0</v>
      </c>
      <c r="Z58" s="168">
        <f>IF(Z24=1,X44,0)</f>
        <v>0</v>
      </c>
      <c r="AA58" s="115">
        <f>IF(AA24=1,AA44,0)</f>
        <v>0</v>
      </c>
      <c r="AC58" s="168">
        <f>IF(AC24=1,AA44,0)</f>
        <v>0</v>
      </c>
      <c r="AD58" s="115">
        <f>IF(AD24=1,AD44,0)</f>
        <v>0</v>
      </c>
      <c r="AF58" s="168">
        <f>IF(AF24=1,AD44,0)</f>
        <v>0</v>
      </c>
      <c r="AG58" s="115">
        <f>SUM(B58:AF58)</f>
        <v>71</v>
      </c>
      <c r="AW58" s="166"/>
    </row>
    <row r="59" spans="1:49" s="115" customFormat="1" ht="12.75" hidden="1" customHeight="1">
      <c r="A59" s="115" t="s">
        <v>44</v>
      </c>
      <c r="B59" s="115">
        <f>IF(B24=2,B44,0)</f>
        <v>23</v>
      </c>
      <c r="D59" s="168">
        <f>IF(D24=2,B44,0)</f>
        <v>0</v>
      </c>
      <c r="E59" s="115">
        <f>IF(E24=2,E44,0)</f>
        <v>0</v>
      </c>
      <c r="G59" s="168">
        <f>IF(G24=2,E44,0)</f>
        <v>0</v>
      </c>
      <c r="H59" s="115">
        <f>IF(H24=2,H44,0)</f>
        <v>30</v>
      </c>
      <c r="J59" s="168">
        <f>IF(J24=2,H44,0)</f>
        <v>0</v>
      </c>
      <c r="K59" s="168"/>
      <c r="L59" s="115">
        <f>IF(L24=2,L44,0)</f>
        <v>0</v>
      </c>
      <c r="N59" s="168">
        <f>IF(N24=2,L44,0)</f>
        <v>0</v>
      </c>
      <c r="O59" s="115">
        <f>IF(O24=2,O44,0)</f>
        <v>0</v>
      </c>
      <c r="Q59" s="168">
        <f>IF(Q24=2,O44,0)</f>
        <v>0</v>
      </c>
      <c r="R59" s="115">
        <f>IF(R24=2,R44,0)</f>
        <v>0</v>
      </c>
      <c r="T59" s="168">
        <f>IF(T24=2,R44,0)</f>
        <v>25</v>
      </c>
      <c r="U59" s="115">
        <f>IF(U24=2,U44,0)</f>
        <v>0</v>
      </c>
      <c r="W59" s="168">
        <f>IF(W24=2,U44,0)</f>
        <v>0</v>
      </c>
      <c r="X59" s="115">
        <f>IF(X24=2,X44,0)</f>
        <v>0</v>
      </c>
      <c r="Z59" s="168">
        <f>IF(Z24=2,X44,0)</f>
        <v>0</v>
      </c>
      <c r="AA59" s="115">
        <f>IF(AA24=2,AA44,0)</f>
        <v>0</v>
      </c>
      <c r="AC59" s="168">
        <f>IF(AC24=2,AA44,0)</f>
        <v>0</v>
      </c>
      <c r="AD59" s="115">
        <f>IF(AD24=2,AD44,0)</f>
        <v>0</v>
      </c>
      <c r="AF59" s="168">
        <f>IF(AF24=2,AD44,0)</f>
        <v>0</v>
      </c>
      <c r="AG59" s="115">
        <f>SUM(B59:AF59)</f>
        <v>78</v>
      </c>
      <c r="AW59" s="166"/>
    </row>
    <row r="60" spans="1:49" s="115" customFormat="1" ht="12.75" hidden="1" customHeight="1">
      <c r="A60" s="115" t="s">
        <v>45</v>
      </c>
      <c r="B60" s="115">
        <f>IF(B24=3,B44,0)</f>
        <v>0</v>
      </c>
      <c r="D60" s="168">
        <f>IF(D24=3,B44,0)</f>
        <v>23</v>
      </c>
      <c r="E60" s="115">
        <f>IF(E24=3,E44,0)</f>
        <v>0</v>
      </c>
      <c r="G60" s="168">
        <f>IF(G24=3,E44,0)</f>
        <v>0</v>
      </c>
      <c r="H60" s="115">
        <f>IF(H24=3,H44,0)</f>
        <v>0</v>
      </c>
      <c r="J60" s="168">
        <f>IF(J24=3,H44,0)</f>
        <v>0</v>
      </c>
      <c r="K60" s="168"/>
      <c r="L60" s="115">
        <f>IF(L24=3,L44,0)</f>
        <v>0</v>
      </c>
      <c r="N60" s="168">
        <f>IF(N24=3,L44,0)</f>
        <v>23</v>
      </c>
      <c r="O60" s="115">
        <f>IF(O24=3,O44,0)</f>
        <v>24</v>
      </c>
      <c r="Q60" s="168">
        <f>IF(Q24=3,O44,0)</f>
        <v>0</v>
      </c>
      <c r="R60" s="115">
        <f>IF(R24=3,R44,0)</f>
        <v>0</v>
      </c>
      <c r="T60" s="168">
        <f>IF(T24=3,R44,0)</f>
        <v>0</v>
      </c>
      <c r="U60" s="115">
        <f>IF(U24=3,U44,0)</f>
        <v>0</v>
      </c>
      <c r="W60" s="168">
        <f>IF(W24=3,U44,0)</f>
        <v>0</v>
      </c>
      <c r="X60" s="115">
        <f>IF(X24=3,X44,0)</f>
        <v>0</v>
      </c>
      <c r="Z60" s="168">
        <f>IF(Z24=3,X44,0)</f>
        <v>0</v>
      </c>
      <c r="AA60" s="115">
        <f>IF(AA24=3,AA44,0)</f>
        <v>0</v>
      </c>
      <c r="AC60" s="168">
        <f>IF(AC24=3,AA44,0)</f>
        <v>0</v>
      </c>
      <c r="AD60" s="115">
        <f>IF(AD24=3,AD44,0)</f>
        <v>0</v>
      </c>
      <c r="AF60" s="168">
        <f>IF(AF24=3,AD44,0)</f>
        <v>0</v>
      </c>
      <c r="AG60" s="115">
        <f>SUM(B60:AF60)</f>
        <v>70</v>
      </c>
      <c r="AW60" s="166"/>
    </row>
    <row r="61" spans="1:49" s="115" customFormat="1" ht="12.75" hidden="1" customHeight="1">
      <c r="A61" s="115" t="s">
        <v>46</v>
      </c>
      <c r="B61" s="115">
        <f>IF(B24=4,B44,0)</f>
        <v>0</v>
      </c>
      <c r="D61" s="168">
        <f>IF(D24=4,B44,0)</f>
        <v>0</v>
      </c>
      <c r="E61" s="115">
        <f>IF(E24=4,E44,0)</f>
        <v>0</v>
      </c>
      <c r="G61" s="168">
        <f>IF(G24=4,E44,0)</f>
        <v>23</v>
      </c>
      <c r="H61" s="115">
        <f>IF(H24=4,H44,0)</f>
        <v>0</v>
      </c>
      <c r="J61" s="168">
        <f>IF(J24=4,H44,0)</f>
        <v>30</v>
      </c>
      <c r="K61" s="168"/>
      <c r="L61" s="115">
        <f>IF(L24=4,L44,0)</f>
        <v>0</v>
      </c>
      <c r="N61" s="168">
        <f>IF(N24=4,L44,0)</f>
        <v>0</v>
      </c>
      <c r="O61" s="115">
        <f>IF(O24=4,O44,0)</f>
        <v>0</v>
      </c>
      <c r="Q61" s="168">
        <f>IF(Q24=4,O44,0)</f>
        <v>24</v>
      </c>
      <c r="R61" s="115">
        <f>IF(R24=4,R44,0)</f>
        <v>0</v>
      </c>
      <c r="T61" s="168">
        <f>IF(T24=4,R44,0)</f>
        <v>0</v>
      </c>
      <c r="U61" s="115">
        <f>IF(U24=4,U44,0)</f>
        <v>0</v>
      </c>
      <c r="W61" s="168">
        <f>IF(W24=4,U44,0)</f>
        <v>0</v>
      </c>
      <c r="X61" s="115">
        <f>IF(X24=4,X44,0)</f>
        <v>0</v>
      </c>
      <c r="Z61" s="168">
        <f>IF(Z24=4,X44,0)</f>
        <v>0</v>
      </c>
      <c r="AA61" s="115">
        <f>IF(AA24=4,AA44,0)</f>
        <v>0</v>
      </c>
      <c r="AC61" s="168">
        <f>IF(AC24=4,AA44,0)</f>
        <v>0</v>
      </c>
      <c r="AD61" s="115">
        <f>IF(AD24=4,AD44,0)</f>
        <v>0</v>
      </c>
      <c r="AF61" s="168">
        <f>IF(AF24=4,AD44,0)</f>
        <v>0</v>
      </c>
      <c r="AG61" s="115">
        <f>SUM(B61:AF61)</f>
        <v>77</v>
      </c>
      <c r="AW61" s="166"/>
    </row>
    <row r="62" spans="1:49" s="115" customFormat="1" ht="12.75" hidden="1" customHeight="1">
      <c r="A62" s="115" t="s">
        <v>47</v>
      </c>
      <c r="B62" s="115">
        <f>IF(B24=5,B44,0)</f>
        <v>0</v>
      </c>
      <c r="D62" s="168">
        <f>IF(D24=5,B44,0)</f>
        <v>0</v>
      </c>
      <c r="E62" s="115">
        <f>IF(E24=5,E44,0)</f>
        <v>0</v>
      </c>
      <c r="G62" s="168">
        <f>IF(G24=5,E44,0)</f>
        <v>0</v>
      </c>
      <c r="H62" s="115">
        <f>IF(H24=5,H44,0)</f>
        <v>0</v>
      </c>
      <c r="J62" s="168">
        <f>IF(J24=5,H44,0)</f>
        <v>0</v>
      </c>
      <c r="K62" s="168"/>
      <c r="L62" s="115">
        <f>IF(L24=5,L44,0)</f>
        <v>0</v>
      </c>
      <c r="N62" s="168">
        <f>IF(N24=5,L44,0)</f>
        <v>0</v>
      </c>
      <c r="O62" s="115">
        <f>IF(O24=5,O44,0)</f>
        <v>0</v>
      </c>
      <c r="Q62" s="168">
        <f>IF(Q24=5,O44,0)</f>
        <v>0</v>
      </c>
      <c r="R62" s="115">
        <f>IF(R24=5,R44,0)</f>
        <v>0</v>
      </c>
      <c r="T62" s="168">
        <f>IF(T24=5,R44,0)</f>
        <v>0</v>
      </c>
      <c r="U62" s="115">
        <f>IF(U24=5,U44,0)</f>
        <v>0</v>
      </c>
      <c r="W62" s="168">
        <f>IF(W24=5,U44,0)</f>
        <v>0</v>
      </c>
      <c r="X62" s="115">
        <f>IF(X24=5,X44,0)</f>
        <v>0</v>
      </c>
      <c r="Z62" s="168">
        <f>IF(Z24=5,X44,0)</f>
        <v>0</v>
      </c>
      <c r="AA62" s="115">
        <f>IF(AA24=5,AA44,0)</f>
        <v>0</v>
      </c>
      <c r="AC62" s="168">
        <f>IF(AC24=5,AA44,0)</f>
        <v>0</v>
      </c>
      <c r="AD62" s="115">
        <f>IF(AD24=5,AD44,0)</f>
        <v>0</v>
      </c>
      <c r="AF62" s="168">
        <f>IF(AF24=5,AD44,0)</f>
        <v>0</v>
      </c>
      <c r="AG62" s="115">
        <f>SUM(B62:AF62)</f>
        <v>0</v>
      </c>
      <c r="AW62" s="166"/>
    </row>
    <row r="63" spans="1:49" s="115" customFormat="1" ht="38.25" hidden="1" customHeight="1">
      <c r="A63" s="115" t="s">
        <v>48</v>
      </c>
      <c r="D63" s="168"/>
      <c r="G63" s="168"/>
      <c r="J63" s="168"/>
      <c r="K63" s="168"/>
      <c r="N63" s="168"/>
      <c r="Q63" s="168"/>
      <c r="T63" s="168"/>
      <c r="W63" s="168"/>
      <c r="Z63" s="168"/>
      <c r="AC63" s="168"/>
      <c r="AF63" s="168"/>
      <c r="AG63" s="167" t="s">
        <v>219</v>
      </c>
      <c r="AH63" s="115" t="s">
        <v>220</v>
      </c>
      <c r="AW63" s="166"/>
    </row>
    <row r="64" spans="1:49" s="115" customFormat="1" ht="12.75" hidden="1" customHeight="1">
      <c r="A64" s="115" t="s">
        <v>38</v>
      </c>
      <c r="B64" s="115">
        <f>IF(B24=1,SUMIF(B31:B35,"&gt;0"),0)</f>
        <v>0</v>
      </c>
      <c r="D64" s="168">
        <f>IF(D24=1,SUMIF(D31:D35,"&gt;0"),0)</f>
        <v>0</v>
      </c>
      <c r="E64" s="115">
        <f>IF(E24=1,SUMIF(E31:E35,"&gt;0"),0)</f>
        <v>1</v>
      </c>
      <c r="G64" s="168">
        <f>IF(G24=1,SUMIF(G31:G35,"&gt;0"),0)</f>
        <v>0</v>
      </c>
      <c r="H64" s="115">
        <f>IF(H24=1,SUMIF(H31:H35,"&gt;0"),0)</f>
        <v>0</v>
      </c>
      <c r="J64" s="168">
        <f>IF(J24=1,SUMIF(J31:J35,"&gt;0"),0)</f>
        <v>0</v>
      </c>
      <c r="K64" s="168"/>
      <c r="L64" s="115">
        <f>IF(L24=1,SUMIF(L31:L35,"&gt;0"),0)</f>
        <v>1</v>
      </c>
      <c r="N64" s="168">
        <f>IF(N24=1,SUMIF(N31:N35,"&gt;0"),0)</f>
        <v>0</v>
      </c>
      <c r="O64" s="115">
        <f>IF(O24=1,SUMIF(O31:O35,"&gt;0"),0)</f>
        <v>0</v>
      </c>
      <c r="Q64" s="168">
        <f>IF(Q24=1,SUMIF(Q31:Q35,"&gt;0"),0)</f>
        <v>0</v>
      </c>
      <c r="R64" s="115">
        <f>IF(R24=1,SUMIF(R31:R35,"&gt;0"),0)</f>
        <v>1</v>
      </c>
      <c r="T64" s="168">
        <f>IF(T24=1,SUMIF(T31:T35,"&gt;0"),0)</f>
        <v>0</v>
      </c>
      <c r="U64" s="115">
        <f>IF(U24=1,SUMIF(U31:U35,"&gt;0"),0)</f>
        <v>0</v>
      </c>
      <c r="W64" s="168">
        <f>IF(W24=1,SUMIF(W31:W35,"&gt;0"),0)</f>
        <v>0</v>
      </c>
      <c r="X64" s="115">
        <f>IF(X24=1,SUMIF(X31:X35,"&gt;0"),0)</f>
        <v>0</v>
      </c>
      <c r="Z64" s="168">
        <f>IF(Z24=1,SUMIF(Z31:Z35,"&gt;0"),0)</f>
        <v>0</v>
      </c>
      <c r="AA64" s="115">
        <f>IF(AA24=1,SUMIF(AA31:AA35,"&gt;0"),0)</f>
        <v>0</v>
      </c>
      <c r="AC64" s="168">
        <f>IF(AC24=1,SUMIF(AC31:AC35,"&gt;0"),0)</f>
        <v>0</v>
      </c>
      <c r="AD64" s="115">
        <f>IF(AD24=1,SUMIF(AD31:AD35,"&gt;0"),0)</f>
        <v>0</v>
      </c>
      <c r="AF64" s="168">
        <f>IF(AF24=1,SUMIF(AF31:AF35,"&gt;0"),0)</f>
        <v>0</v>
      </c>
      <c r="AG64" s="115">
        <f>SUM(B64:AF64)</f>
        <v>3</v>
      </c>
      <c r="AH64" s="115">
        <f>AG72-AG64</f>
        <v>0</v>
      </c>
      <c r="AW64" s="166"/>
    </row>
    <row r="65" spans="1:81" s="115" customFormat="1" ht="12.75" hidden="1" customHeight="1">
      <c r="A65" s="115" t="s">
        <v>39</v>
      </c>
      <c r="B65" s="115">
        <f>IF(B24=2,SUMIF(B31:B35,"&gt;0"),0)</f>
        <v>1</v>
      </c>
      <c r="D65" s="168">
        <f>IF(D24=2,SUMIF(D31:D35,"&gt;0"),0)</f>
        <v>0</v>
      </c>
      <c r="E65" s="115">
        <f>IF(E24=2,SUMIF(E31:E35,"&gt;0"),0)</f>
        <v>0</v>
      </c>
      <c r="G65" s="168">
        <f>IF(G24=2,SUMIF(G31:G35,"&gt;0"),0)</f>
        <v>0</v>
      </c>
      <c r="H65" s="115">
        <f>IF(H24=2,SUMIF(H31:H35,"&gt;0"),0)</f>
        <v>1</v>
      </c>
      <c r="J65" s="168">
        <f>IF(J24=2,SUMIF(J31:J35,"&gt;0"),0)</f>
        <v>0</v>
      </c>
      <c r="K65" s="168"/>
      <c r="L65" s="115">
        <f>IF(L24=2,SUMIF(L31:L35,"&gt;0"),0)</f>
        <v>0</v>
      </c>
      <c r="N65" s="168">
        <f>IF(N24=2,SUMIF(N31:N35,"&gt;0"),0)</f>
        <v>0</v>
      </c>
      <c r="O65" s="115">
        <f>IF(O24=2,SUMIF(O31:O35,"&gt;0"),0)</f>
        <v>0</v>
      </c>
      <c r="Q65" s="168">
        <f>IF(Q24=2,SUMIF(Q31:Q35,"&gt;0"),0)</f>
        <v>0</v>
      </c>
      <c r="R65" s="115">
        <f>IF(R24=2,SUMIF(R31:R35,"&gt;0"),0)</f>
        <v>0</v>
      </c>
      <c r="T65" s="168">
        <f>IF(T24=2,SUMIF(T31:T35,"&gt;0"),0)</f>
        <v>0</v>
      </c>
      <c r="U65" s="115">
        <f>IF(U24=2,SUMIF(U31:U35,"&gt;0"),0)</f>
        <v>0</v>
      </c>
      <c r="W65" s="168">
        <f>IF(W24=2,SUMIF(W31:W35,"&gt;0"),0)</f>
        <v>0</v>
      </c>
      <c r="X65" s="115">
        <f>IF(X24=2,SUMIF(X31:X35,"&gt;0"),0)</f>
        <v>0</v>
      </c>
      <c r="Z65" s="168">
        <f>IF(Z24=2,SUMIF(Z31:Z35,"&gt;0"),0)</f>
        <v>0</v>
      </c>
      <c r="AA65" s="115">
        <f>IF(AA24=2,SUMIF(AA31:AA35,"&gt;0"),0)</f>
        <v>0</v>
      </c>
      <c r="AC65" s="168">
        <f>IF(AC24=2,SUMIF(AC31:AC35,"&gt;0"),0)</f>
        <v>0</v>
      </c>
      <c r="AD65" s="115">
        <f>IF(AD24=2,SUMIF(AD31:AD35,"&gt;0"),0)</f>
        <v>0</v>
      </c>
      <c r="AF65" s="168">
        <f>IF(AF24=2,SUMIF(AF31:AF35,"&gt;0"),0)</f>
        <v>0</v>
      </c>
      <c r="AG65" s="115">
        <f>SUM(B65:AF65)</f>
        <v>2</v>
      </c>
      <c r="AH65" s="115">
        <f>AG73-AG65</f>
        <v>1</v>
      </c>
      <c r="AW65" s="166"/>
    </row>
    <row r="66" spans="1:81" s="115" customFormat="1" ht="12.75" hidden="1" customHeight="1">
      <c r="A66" s="115" t="s">
        <v>40</v>
      </c>
      <c r="B66" s="115">
        <f>IF(B24=3,SUMIF(B31:B35,"&gt;0"),0)</f>
        <v>0</v>
      </c>
      <c r="D66" s="168">
        <f>IF(D24=3,SUMIF(D31:D35,"&gt;0"),0)</f>
        <v>0</v>
      </c>
      <c r="E66" s="115">
        <f>IF(E24=3,SUMIF(E31:E35,"&gt;0"),0)</f>
        <v>0</v>
      </c>
      <c r="G66" s="168">
        <f>IF(G24=3,SUMIF(G31:G35,"&gt;0"),0)</f>
        <v>0</v>
      </c>
      <c r="H66" s="115">
        <f>IF(H24=3,SUMIF(H31:H35,"&gt;0"),0)</f>
        <v>0</v>
      </c>
      <c r="J66" s="168">
        <f>IF(J24=3,SUMIF(J31:J35,"&gt;0"),0)</f>
        <v>0</v>
      </c>
      <c r="K66" s="168"/>
      <c r="L66" s="115">
        <f>IF(L24=3,SUMIF(L31:L35,"&gt;0"),0)</f>
        <v>0</v>
      </c>
      <c r="N66" s="168">
        <f>IF(N24=3,SUMIF(N31:N35,"&gt;0"),0)</f>
        <v>0</v>
      </c>
      <c r="O66" s="115">
        <f>IF(O24=3,SUMIF(O31:O35,"&gt;0"),0)</f>
        <v>1</v>
      </c>
      <c r="Q66" s="168">
        <f>IF(Q24=3,SUMIF(Q31:Q35,"&gt;0"),0)</f>
        <v>0</v>
      </c>
      <c r="R66" s="115">
        <f>IF(R24=3,SUMIF(R31:R35,"&gt;0"),0)</f>
        <v>0</v>
      </c>
      <c r="T66" s="168">
        <f>IF(T24=3,SUMIF(T31:T35,"&gt;0"),0)</f>
        <v>0</v>
      </c>
      <c r="U66" s="115">
        <f>IF(U24=3,SUMIF(U31:U35,"&gt;0"),0)</f>
        <v>0</v>
      </c>
      <c r="W66" s="168">
        <f>IF(W24=3,SUMIF(W31:W35,"&gt;0"),0)</f>
        <v>0</v>
      </c>
      <c r="X66" s="115">
        <f>IF(X24=3,SUMIF(X31:X35,"&gt;0"),0)</f>
        <v>0</v>
      </c>
      <c r="Z66" s="168">
        <f>IF(Z24=3,SUMIF(Z31:Z35,"&gt;0"),0)</f>
        <v>0</v>
      </c>
      <c r="AA66" s="115">
        <f>IF(AA24=3,SUMIF(AA31:AA35,"&gt;0"),0)</f>
        <v>0</v>
      </c>
      <c r="AC66" s="168">
        <f>IF(AC24=3,SUMIF(AC31:AC35,"&gt;0"),0)</f>
        <v>0</v>
      </c>
      <c r="AD66" s="115">
        <f>IF(AD24=3,SUMIF(AD31:AD35,"&gt;0"),0)</f>
        <v>0</v>
      </c>
      <c r="AF66" s="168">
        <f>IF(AF24=3,SUMIF(AF31:AF35,"&gt;0"),0)</f>
        <v>0</v>
      </c>
      <c r="AG66" s="115">
        <f>SUM(B66:AF66)</f>
        <v>1</v>
      </c>
      <c r="AH66" s="115">
        <f>AG74-AG66</f>
        <v>2</v>
      </c>
      <c r="AW66" s="166"/>
    </row>
    <row r="67" spans="1:81" s="115" customFormat="1" ht="12.75" hidden="1" customHeight="1">
      <c r="A67" s="115" t="s">
        <v>41</v>
      </c>
      <c r="B67" s="115">
        <f>IF(B24=4,SUMIF(B31:B35,"&gt;0"),0)</f>
        <v>0</v>
      </c>
      <c r="D67" s="168">
        <f>IF(D24=4,SUMIF(D31:D35,"&gt;0"),0)</f>
        <v>0</v>
      </c>
      <c r="E67" s="115">
        <f>IF(E24=4,SUMIF(E31:E35,"&gt;0"),0)</f>
        <v>0</v>
      </c>
      <c r="G67" s="168">
        <f>IF(G24=4,SUMIF(G31:G35,"&gt;0"),0)</f>
        <v>0</v>
      </c>
      <c r="H67" s="115">
        <f>IF(H24=4,SUMIF(H31:H35,"&gt;0"),0)</f>
        <v>0</v>
      </c>
      <c r="J67" s="168">
        <f>IF(J24=4,SUMIF(J31:J35,"&gt;0"),0)</f>
        <v>0</v>
      </c>
      <c r="K67" s="168"/>
      <c r="L67" s="115">
        <f>IF(L24=4,SUMIF(L31:L35,"&gt;0"),0)</f>
        <v>0</v>
      </c>
      <c r="N67" s="168">
        <f>IF(N24=4,SUMIF(N31:N35,"&gt;0"),0)</f>
        <v>0</v>
      </c>
      <c r="O67" s="115">
        <f>IF(O24=4,SUMIF(O31:O35,"&gt;0"),0)</f>
        <v>0</v>
      </c>
      <c r="Q67" s="168">
        <f>IF(Q24=4,SUMIF(Q31:Q35,"&gt;0"),0)</f>
        <v>0</v>
      </c>
      <c r="R67" s="115">
        <f>IF(R24=4,SUMIF(R31:R35,"&gt;0"),0)</f>
        <v>0</v>
      </c>
      <c r="T67" s="168">
        <f>IF(T24=4,SUMIF(T31:T35,"&gt;0"),0)</f>
        <v>0</v>
      </c>
      <c r="U67" s="115">
        <f>IF(U24=4,SUMIF(U31:U35,"&gt;0"),0)</f>
        <v>0</v>
      </c>
      <c r="W67" s="168">
        <f>IF(W24=4,SUMIF(W31:W35,"&gt;0"),0)</f>
        <v>0</v>
      </c>
      <c r="X67" s="115">
        <f>IF(X24=4,SUMIF(X31:X35,"&gt;0"),0)</f>
        <v>0</v>
      </c>
      <c r="Z67" s="168">
        <f>IF(Z24=4,SUMIF(Z31:Z35,"&gt;0"),0)</f>
        <v>0</v>
      </c>
      <c r="AA67" s="115">
        <f>IF(AA24=4,SUMIF(AA31:AA35,"&gt;0"),0)</f>
        <v>0</v>
      </c>
      <c r="AC67" s="168">
        <f>IF(AC24=4,SUMIF(AC31:AC35,"&gt;0"),0)</f>
        <v>0</v>
      </c>
      <c r="AD67" s="115">
        <f>IF(AD24=4,SUMIF(AD31:AD35,"&gt;0"),0)</f>
        <v>0</v>
      </c>
      <c r="AF67" s="168">
        <f>IF(AF24=4,SUMIF(AF31:AF35,"&gt;0"),0)</f>
        <v>0</v>
      </c>
      <c r="AG67" s="115">
        <f>SUM(B67:AF67)</f>
        <v>0</v>
      </c>
      <c r="AH67" s="115">
        <f>AG75-AG67</f>
        <v>3</v>
      </c>
      <c r="AW67" s="166"/>
    </row>
    <row r="68" spans="1:81" s="115" customFormat="1" ht="12.75" hidden="1" customHeight="1">
      <c r="A68" s="115" t="s">
        <v>42</v>
      </c>
      <c r="B68" s="115">
        <f>IF(B24=5,SUMIF(B31:B35,"&gt;0"),0)</f>
        <v>0</v>
      </c>
      <c r="D68" s="168">
        <f>IF(D24=5,SUMIF(D31:D35,"&gt;0"),0)</f>
        <v>0</v>
      </c>
      <c r="E68" s="115">
        <f>IF(E24=5,SUMIF(E31:E35,"&gt;0"),0)</f>
        <v>0</v>
      </c>
      <c r="G68" s="168">
        <f>IF(G24=5,SUMIF(G31:G35,"&gt;0"),0)</f>
        <v>0</v>
      </c>
      <c r="H68" s="115">
        <f>IF(H24=5,SUMIF(H31:H35,"&gt;0"),0)</f>
        <v>0</v>
      </c>
      <c r="J68" s="168">
        <f>IF(J24=5,SUMIF(J31:J35,"&gt;0"),0)</f>
        <v>0</v>
      </c>
      <c r="K68" s="168"/>
      <c r="L68" s="115">
        <f>IF(L24=5,SUMIF(L31:L35,"&gt;0"),0)</f>
        <v>0</v>
      </c>
      <c r="N68" s="168">
        <f>IF(N24=5,SUMIF(N31:N35,"&gt;0"),0)</f>
        <v>0</v>
      </c>
      <c r="O68" s="115">
        <f>IF(O24=5,SUMIF(O31:O35,"&gt;0"),0)</f>
        <v>0</v>
      </c>
      <c r="Q68" s="168">
        <f>IF(Q24=5,SUMIF(Q31:Q35,"&gt;0"),0)</f>
        <v>0</v>
      </c>
      <c r="R68" s="115">
        <f>IF(R24=5,SUMIF(R31:R35,"&gt;0"),0)</f>
        <v>0</v>
      </c>
      <c r="T68" s="168">
        <f>IF(T24=5,SUMIF(T31:T35,"&gt;0"),0)</f>
        <v>0</v>
      </c>
      <c r="U68" s="115">
        <f>IF(U24=5,SUMIF(U31:U35,"&gt;0"),0)</f>
        <v>0</v>
      </c>
      <c r="W68" s="168">
        <f>IF(W24=5,SUMIF(W31:W35,"&gt;0"),0)</f>
        <v>0</v>
      </c>
      <c r="X68" s="115">
        <f>IF(X24=5,SUMIF(X31:X35,"&gt;0"),0)</f>
        <v>0</v>
      </c>
      <c r="Z68" s="168">
        <f>IF(Z24=5,SUMIF(Z31:Z35,"&gt;0"),0)</f>
        <v>0</v>
      </c>
      <c r="AA68" s="115">
        <f>IF(AA24=5,SUMIF(AA31:AA35,"&gt;0"),0)</f>
        <v>0</v>
      </c>
      <c r="AC68" s="168">
        <f>IF(AC24=5,SUMIF(AC31:AC35,"&gt;0"),0)</f>
        <v>0</v>
      </c>
      <c r="AD68" s="115">
        <f>IF(AD24=5,SUMIF(AD31:AD35,"&gt;0"),0)</f>
        <v>0</v>
      </c>
      <c r="AF68" s="168">
        <f>IF(AF24=5,SUMIF(AF31:AF35,"&gt;0"),0)</f>
        <v>0</v>
      </c>
      <c r="AG68" s="115">
        <f>SUM(B68:AF68)</f>
        <v>0</v>
      </c>
      <c r="AH68" s="115">
        <f>AG76-AG68</f>
        <v>0</v>
      </c>
      <c r="AW68" s="166"/>
    </row>
    <row r="69" spans="1:81" s="115" customFormat="1" ht="12.75" hidden="1" customHeight="1">
      <c r="D69" s="168"/>
      <c r="G69" s="168"/>
      <c r="J69" s="168"/>
      <c r="K69" s="168"/>
      <c r="N69" s="168"/>
      <c r="Q69" s="168"/>
      <c r="T69" s="168"/>
      <c r="W69" s="168"/>
      <c r="Z69" s="168"/>
      <c r="AC69" s="168"/>
      <c r="AF69" s="168"/>
      <c r="AW69" s="166"/>
    </row>
    <row r="70" spans="1:81" s="115" customFormat="1" ht="12.75" hidden="1" customHeight="1">
      <c r="D70" s="168"/>
      <c r="G70" s="168"/>
      <c r="J70" s="168"/>
      <c r="K70" s="168"/>
      <c r="N70" s="168"/>
      <c r="Q70" s="168"/>
      <c r="T70" s="168"/>
      <c r="W70" s="168"/>
      <c r="Z70" s="168"/>
      <c r="AC70" s="168"/>
      <c r="AF70" s="168"/>
      <c r="AW70" s="166"/>
    </row>
    <row r="71" spans="1:81" s="115" customFormat="1" ht="51" hidden="1" customHeight="1">
      <c r="A71" s="167" t="s">
        <v>221</v>
      </c>
      <c r="C71" s="115">
        <f>SUMIF(B64:D68,"&gt;0")</f>
        <v>1</v>
      </c>
      <c r="D71" s="168"/>
      <c r="F71" s="115">
        <f>SUMIF(E64:G68,"&gt;0")</f>
        <v>1</v>
      </c>
      <c r="G71" s="168"/>
      <c r="I71" s="115">
        <f>SUMIF(H64:J68,"&gt;0")</f>
        <v>1</v>
      </c>
      <c r="J71" s="168"/>
      <c r="K71" s="168"/>
      <c r="M71" s="115">
        <f>SUMIF(L64:N68,"&gt;0")</f>
        <v>1</v>
      </c>
      <c r="N71" s="168"/>
      <c r="P71" s="115">
        <f>SUMIF(O64:Q68,"&gt;0")</f>
        <v>1</v>
      </c>
      <c r="Q71" s="168"/>
      <c r="S71" s="115">
        <f>SUMIF(R64:T68,"&gt;0")</f>
        <v>1</v>
      </c>
      <c r="T71" s="168"/>
      <c r="V71" s="115">
        <f>SUMIF(U64:W68,"&gt;0")</f>
        <v>0</v>
      </c>
      <c r="W71" s="168"/>
      <c r="Y71" s="115">
        <f>SUMIF(X64:Z68,"&gt;0")</f>
        <v>0</v>
      </c>
      <c r="Z71" s="168"/>
      <c r="AB71" s="115">
        <f>SUMIF(AA64:AC68,"&gt;0")</f>
        <v>0</v>
      </c>
      <c r="AC71" s="168"/>
      <c r="AE71" s="115">
        <f>SUMIF(AD64:AF68,"&gt;0")</f>
        <v>0</v>
      </c>
      <c r="AF71" s="168"/>
      <c r="AG71" s="167" t="s">
        <v>222</v>
      </c>
      <c r="AW71" s="166"/>
    </row>
    <row r="72" spans="1:81" s="115" customFormat="1" ht="12.75" hidden="1" customHeight="1">
      <c r="A72" s="115" t="s">
        <v>43</v>
      </c>
      <c r="B72" s="115">
        <f>IF(B24=1,C71,0)</f>
        <v>0</v>
      </c>
      <c r="D72" s="168">
        <f>IF(D24=1,C71,0)</f>
        <v>0</v>
      </c>
      <c r="E72" s="115">
        <f>IF(E24=1,F71,0)</f>
        <v>1</v>
      </c>
      <c r="G72" s="168">
        <f>IF(G24=1,F71,0)</f>
        <v>0</v>
      </c>
      <c r="H72" s="115">
        <f>IF(H24=1,I71,0)</f>
        <v>0</v>
      </c>
      <c r="J72" s="168">
        <f>IF(J24=1,I71,0)</f>
        <v>0</v>
      </c>
      <c r="K72" s="168"/>
      <c r="L72" s="115">
        <f>IF(L24=1,M71,0)</f>
        <v>1</v>
      </c>
      <c r="N72" s="168">
        <f>IF(N24=1,M71,0)</f>
        <v>0</v>
      </c>
      <c r="O72" s="115">
        <f>IF(O24=1,P71,0)</f>
        <v>0</v>
      </c>
      <c r="Q72" s="168">
        <f>IF(Q24=1,P71,0)</f>
        <v>0</v>
      </c>
      <c r="R72" s="115">
        <f>IF(R24=1,S71,0)</f>
        <v>1</v>
      </c>
      <c r="T72" s="168">
        <f>IF(T24=1,S71,0)</f>
        <v>0</v>
      </c>
      <c r="U72" s="115">
        <f>IF(U24=1,V71,0)</f>
        <v>0</v>
      </c>
      <c r="W72" s="168">
        <f>IF(W24=1,V71,0)</f>
        <v>0</v>
      </c>
      <c r="X72" s="115">
        <f>IF(X24=1,Y71,0)</f>
        <v>0</v>
      </c>
      <c r="Z72" s="168">
        <f>IF(Z24=1,Y71,0)</f>
        <v>0</v>
      </c>
      <c r="AA72" s="115">
        <f>IF(AA24=1,AB71,0)</f>
        <v>0</v>
      </c>
      <c r="AC72" s="168">
        <f>IF(AC24=1,AB71,0)</f>
        <v>0</v>
      </c>
      <c r="AD72" s="115">
        <f>IF(AD24=1,AE71,0)</f>
        <v>0</v>
      </c>
      <c r="AF72" s="168">
        <f>IF(AF24=1,AE71,0)</f>
        <v>0</v>
      </c>
      <c r="AG72" s="115">
        <f>SUM(B72:AF72)</f>
        <v>3</v>
      </c>
      <c r="AW72" s="166"/>
    </row>
    <row r="73" spans="1:81" s="115" customFormat="1" ht="12.75" hidden="1" customHeight="1">
      <c r="A73" s="115" t="s">
        <v>44</v>
      </c>
      <c r="B73" s="115">
        <f>IF(B24=2,C71,0)</f>
        <v>1</v>
      </c>
      <c r="D73" s="168">
        <f>IF(D24=2,C71,0)</f>
        <v>0</v>
      </c>
      <c r="E73" s="115">
        <f>IF(E24=2,F71,0)</f>
        <v>0</v>
      </c>
      <c r="G73" s="168">
        <f>IF(G24=2,F71,0)</f>
        <v>0</v>
      </c>
      <c r="H73" s="115">
        <f>IF(H24=2,I71,0)</f>
        <v>1</v>
      </c>
      <c r="J73" s="168">
        <f>IF(J24=2,I71,0)</f>
        <v>0</v>
      </c>
      <c r="K73" s="168"/>
      <c r="L73" s="115">
        <f>IF(L24=2,M71,0)</f>
        <v>0</v>
      </c>
      <c r="N73" s="168">
        <f>IF(N24=2,M71,0)</f>
        <v>0</v>
      </c>
      <c r="O73" s="115">
        <f>IF(O24=2,P71,0)</f>
        <v>0</v>
      </c>
      <c r="Q73" s="168">
        <f>IF(Q24=2,P71,0)</f>
        <v>0</v>
      </c>
      <c r="R73" s="115">
        <f>IF(R24=2,S71,0)</f>
        <v>0</v>
      </c>
      <c r="T73" s="168">
        <f>IF(T24=2,S71,0)</f>
        <v>1</v>
      </c>
      <c r="U73" s="115">
        <f>IF(U24=2,V71,0)</f>
        <v>0</v>
      </c>
      <c r="W73" s="168">
        <f>IF(W24=2,V71,0)</f>
        <v>0</v>
      </c>
      <c r="X73" s="115">
        <f>IF(X24=2,Y71,0)</f>
        <v>0</v>
      </c>
      <c r="Z73" s="168">
        <f>IF(Z24=2,Y71,0)</f>
        <v>0</v>
      </c>
      <c r="AA73" s="115">
        <f>IF(AA24=2,AB71,0)</f>
        <v>0</v>
      </c>
      <c r="AC73" s="168">
        <f>IF(AC24=2,AB71,0)</f>
        <v>0</v>
      </c>
      <c r="AD73" s="115">
        <f>IF(AD24=2,AE71,0)</f>
        <v>0</v>
      </c>
      <c r="AF73" s="168">
        <f>IF(AF24=2,AE71,0)</f>
        <v>0</v>
      </c>
      <c r="AG73" s="115">
        <f>SUM(B73:AF73)</f>
        <v>3</v>
      </c>
      <c r="AW73" s="166"/>
    </row>
    <row r="74" spans="1:81" s="115" customFormat="1" ht="12.75" hidden="1" customHeight="1">
      <c r="A74" s="115" t="s">
        <v>45</v>
      </c>
      <c r="B74" s="115">
        <f>IF(B24=3,C71,0)</f>
        <v>0</v>
      </c>
      <c r="D74" s="168">
        <f>IF(D24=3,C71,0)</f>
        <v>1</v>
      </c>
      <c r="E74" s="115">
        <f>IF(E24=3,F71,0)</f>
        <v>0</v>
      </c>
      <c r="G74" s="168">
        <f>IF(G24=3,F71,0)</f>
        <v>0</v>
      </c>
      <c r="H74" s="115">
        <f>IF(H24=3,I71,0)</f>
        <v>0</v>
      </c>
      <c r="J74" s="168">
        <f>IF(J24=3,I71,0)</f>
        <v>0</v>
      </c>
      <c r="K74" s="168"/>
      <c r="L74" s="115">
        <f>IF(L24=3,M71,0)</f>
        <v>0</v>
      </c>
      <c r="N74" s="168">
        <f>IF(N24=3,M71,0)</f>
        <v>1</v>
      </c>
      <c r="O74" s="115">
        <f>IF(O24=3,P71,0)</f>
        <v>1</v>
      </c>
      <c r="Q74" s="168">
        <f>IF(Q24=3,P71,0)</f>
        <v>0</v>
      </c>
      <c r="R74" s="115">
        <f>IF(R24=3,S71,0)</f>
        <v>0</v>
      </c>
      <c r="T74" s="168">
        <f>IF(T24=3,S71,0)</f>
        <v>0</v>
      </c>
      <c r="U74" s="115">
        <f>IF(U24=3,V71,0)</f>
        <v>0</v>
      </c>
      <c r="W74" s="168">
        <f>IF(W24=3,V71,0)</f>
        <v>0</v>
      </c>
      <c r="X74" s="115">
        <f>IF(X24=3,Y71,0)</f>
        <v>0</v>
      </c>
      <c r="Z74" s="168">
        <f>IF(Z24=3,Y71,0)</f>
        <v>0</v>
      </c>
      <c r="AA74" s="115">
        <f>IF(AA24=3,AB71,0)</f>
        <v>0</v>
      </c>
      <c r="AC74" s="168">
        <f>IF(AC24=3,AB71,0)</f>
        <v>0</v>
      </c>
      <c r="AD74" s="115">
        <f>IF(AD24=3,AE71,0)</f>
        <v>0</v>
      </c>
      <c r="AF74" s="168">
        <f>IF(AF24=3,AE71,0)</f>
        <v>0</v>
      </c>
      <c r="AG74" s="115">
        <f>SUM(B74:AF74)</f>
        <v>3</v>
      </c>
      <c r="AW74" s="166"/>
    </row>
    <row r="75" spans="1:81" s="115" customFormat="1" ht="12.75" hidden="1" customHeight="1">
      <c r="A75" s="115" t="s">
        <v>46</v>
      </c>
      <c r="B75" s="115">
        <f>IF(B24=4,C71,0)</f>
        <v>0</v>
      </c>
      <c r="D75" s="168">
        <f>IF(D24=4,C71,0)</f>
        <v>0</v>
      </c>
      <c r="E75" s="115">
        <f>IF(E24=4,F71,0)</f>
        <v>0</v>
      </c>
      <c r="G75" s="168">
        <f>IF(G24=4,F71,0)</f>
        <v>1</v>
      </c>
      <c r="H75" s="115">
        <f>IF(H24=4,I71,0)</f>
        <v>0</v>
      </c>
      <c r="J75" s="168">
        <f>IF(J24=4,I71,0)</f>
        <v>1</v>
      </c>
      <c r="K75" s="168"/>
      <c r="L75" s="115">
        <f>IF(L24=4,M71,0)</f>
        <v>0</v>
      </c>
      <c r="N75" s="168">
        <f>IF(N24=4,M71,0)</f>
        <v>0</v>
      </c>
      <c r="O75" s="115">
        <f>IF(O24=4,P71,0)</f>
        <v>0</v>
      </c>
      <c r="Q75" s="168">
        <f>IF(Q24=4,P71,0)</f>
        <v>1</v>
      </c>
      <c r="R75" s="115">
        <f>IF(R24=4,S71,0)</f>
        <v>0</v>
      </c>
      <c r="T75" s="168">
        <f>IF(T24=4,S71,0)</f>
        <v>0</v>
      </c>
      <c r="U75" s="115">
        <f>IF(U24=4,V71,0)</f>
        <v>0</v>
      </c>
      <c r="W75" s="168">
        <f>IF(W24=4,V71,0)</f>
        <v>0</v>
      </c>
      <c r="X75" s="115">
        <f>IF(X24=4,Y71,0)</f>
        <v>0</v>
      </c>
      <c r="Z75" s="168">
        <f>IF(Z24=4,Y71,0)</f>
        <v>0</v>
      </c>
      <c r="AA75" s="115">
        <f>IF(AA24=4,AB71,0)</f>
        <v>0</v>
      </c>
      <c r="AC75" s="168">
        <f>IF(AC24=4,AB71,0)</f>
        <v>0</v>
      </c>
      <c r="AD75" s="115">
        <f>IF(AD24=4,AE71,0)</f>
        <v>0</v>
      </c>
      <c r="AF75" s="168">
        <f>IF(AF24=4,AE71,0)</f>
        <v>0</v>
      </c>
      <c r="AG75" s="115">
        <f>SUM(B75:AF75)</f>
        <v>3</v>
      </c>
      <c r="AW75" s="166"/>
    </row>
    <row r="76" spans="1:81" s="115" customFormat="1" ht="12.75" hidden="1" customHeight="1">
      <c r="A76" s="115" t="s">
        <v>47</v>
      </c>
      <c r="B76" s="115">
        <f>IF(B24=5,C71,0)</f>
        <v>0</v>
      </c>
      <c r="D76" s="168">
        <f>IF(D24=5,C71,0)</f>
        <v>0</v>
      </c>
      <c r="E76" s="115">
        <f>IF(E24=5,F71,0)</f>
        <v>0</v>
      </c>
      <c r="G76" s="168">
        <f>IF(G24=5,F71,0)</f>
        <v>0</v>
      </c>
      <c r="H76" s="115">
        <f>IF(H24=5,I71,0)</f>
        <v>0</v>
      </c>
      <c r="J76" s="168">
        <f>IF(J24=5,I71,0)</f>
        <v>0</v>
      </c>
      <c r="K76" s="168"/>
      <c r="L76" s="115">
        <f>IF(L24=5,M71,0)</f>
        <v>0</v>
      </c>
      <c r="N76" s="168">
        <f>IF(N24=5,M71,0)</f>
        <v>0</v>
      </c>
      <c r="O76" s="115">
        <f>IF(O24=5,P71,0)</f>
        <v>0</v>
      </c>
      <c r="Q76" s="168">
        <f>IF(Q24=5,P71,0)</f>
        <v>0</v>
      </c>
      <c r="R76" s="115">
        <f>IF(R24=5,S71,0)</f>
        <v>0</v>
      </c>
      <c r="T76" s="168">
        <f>IF(T24=5,S71,0)</f>
        <v>0</v>
      </c>
      <c r="U76" s="115">
        <f>IF(U24=5,V71,0)</f>
        <v>0</v>
      </c>
      <c r="W76" s="168">
        <f>IF(W24=5,V71,0)</f>
        <v>0</v>
      </c>
      <c r="X76" s="115">
        <f>IF(X24=5,Y71,0)</f>
        <v>0</v>
      </c>
      <c r="Z76" s="168">
        <f>IF(Z24=5,Y71,0)</f>
        <v>0</v>
      </c>
      <c r="AA76" s="115">
        <f>IF(AA24=5,AB71,0)</f>
        <v>0</v>
      </c>
      <c r="AC76" s="168">
        <f>IF(AC24=5,AB71,0)</f>
        <v>0</v>
      </c>
      <c r="AD76" s="115">
        <f>IF(AD24=5,AE71,0)</f>
        <v>0</v>
      </c>
      <c r="AF76" s="168">
        <f>IF(AF24=5,AE71,0)</f>
        <v>0</v>
      </c>
      <c r="AG76" s="115">
        <f>SUM(B76:AF76)</f>
        <v>0</v>
      </c>
      <c r="AW76" s="166"/>
    </row>
    <row r="77" spans="1:81" hidden="1">
      <c r="A77" s="219"/>
      <c r="B77" s="219"/>
      <c r="C77" s="219"/>
      <c r="D77" s="219"/>
      <c r="E77" s="219"/>
      <c r="F77" s="219"/>
      <c r="G77" s="219"/>
      <c r="H77" s="219"/>
      <c r="I77" s="219"/>
      <c r="J77" s="219"/>
      <c r="K77" s="219"/>
      <c r="L77" s="219"/>
      <c r="M77" s="219"/>
      <c r="N77" s="219"/>
      <c r="O77" s="219"/>
      <c r="P77" s="219"/>
      <c r="Q77" s="219"/>
      <c r="R77" s="219"/>
      <c r="S77" s="219"/>
      <c r="T77" s="219"/>
      <c r="U77" s="219"/>
      <c r="V77" s="219"/>
      <c r="W77" s="219"/>
      <c r="X77" s="219"/>
      <c r="Y77" s="219"/>
      <c r="Z77" s="219"/>
      <c r="AA77" s="219"/>
      <c r="AB77" s="219"/>
      <c r="AC77" s="219"/>
      <c r="AD77" s="219"/>
      <c r="AE77" s="219"/>
      <c r="AF77" s="219"/>
      <c r="AG77" s="219"/>
      <c r="AH77" s="219"/>
      <c r="AI77" s="219"/>
      <c r="AJ77" s="219"/>
      <c r="AK77" s="219"/>
      <c r="AL77" s="219"/>
      <c r="AM77" s="219"/>
      <c r="AN77" s="219"/>
      <c r="AO77" s="220"/>
      <c r="AP77" s="220"/>
      <c r="AQ77" s="220"/>
      <c r="AR77" s="220"/>
      <c r="AS77" s="117"/>
      <c r="AT77" s="117"/>
      <c r="AU77" s="117"/>
      <c r="AV77" s="117"/>
      <c r="BB77" s="39"/>
      <c r="BE77" s="39"/>
      <c r="BH77" s="39"/>
      <c r="BK77" s="39"/>
      <c r="BN77" s="39"/>
      <c r="BQ77" s="39"/>
      <c r="BT77" s="39"/>
      <c r="BW77" s="39"/>
      <c r="BZ77" s="39"/>
      <c r="CC77" s="39"/>
    </row>
    <row r="78" spans="1:81" s="117" customFormat="1" hidden="1">
      <c r="A78" s="34"/>
      <c r="B78" s="34"/>
      <c r="C78" s="34" t="s">
        <v>223</v>
      </c>
      <c r="D78" s="34">
        <v>1</v>
      </c>
      <c r="E78" s="34"/>
      <c r="F78" s="34"/>
      <c r="G78" s="34">
        <v>2</v>
      </c>
      <c r="H78" s="34"/>
      <c r="I78" s="34"/>
      <c r="J78" s="34">
        <v>3</v>
      </c>
      <c r="K78" s="34"/>
      <c r="L78" s="34"/>
      <c r="M78" s="34"/>
      <c r="N78" s="34">
        <v>4</v>
      </c>
      <c r="O78" s="34"/>
      <c r="P78" s="34"/>
      <c r="Q78" s="34">
        <v>5</v>
      </c>
      <c r="R78" s="34"/>
      <c r="S78" s="34"/>
      <c r="T78" s="34">
        <v>6</v>
      </c>
      <c r="U78" s="34"/>
      <c r="V78" s="34"/>
      <c r="W78" s="34">
        <v>7</v>
      </c>
      <c r="X78" s="34"/>
      <c r="Y78" s="34"/>
      <c r="Z78" s="34">
        <v>8</v>
      </c>
      <c r="AA78" s="34"/>
      <c r="AB78" s="34"/>
      <c r="AC78" s="34">
        <v>9</v>
      </c>
      <c r="AD78" s="34"/>
      <c r="AE78" s="34"/>
      <c r="AF78" s="34">
        <v>10</v>
      </c>
      <c r="AG78" s="3"/>
      <c r="AH78" s="34"/>
      <c r="AJ78" s="169"/>
      <c r="AK78" s="3"/>
      <c r="AL78" s="3"/>
      <c r="AM78" s="3"/>
      <c r="AN78" s="3"/>
      <c r="AO78" s="3"/>
      <c r="AP78" s="3"/>
      <c r="AT78" s="169" t="s">
        <v>224</v>
      </c>
      <c r="AW78" s="170"/>
      <c r="BB78" s="170"/>
      <c r="BE78" s="170"/>
      <c r="BH78" s="170"/>
      <c r="BK78" s="170"/>
      <c r="BN78" s="170"/>
      <c r="BQ78" s="170"/>
      <c r="BT78" s="170"/>
      <c r="BW78" s="170"/>
      <c r="BZ78" s="170"/>
      <c r="CC78" s="170"/>
    </row>
    <row r="79" spans="1:81" s="117" customFormat="1" hidden="1">
      <c r="A79" s="171">
        <v>1</v>
      </c>
      <c r="B79" s="171" t="str">
        <f>E8</f>
        <v>Magnum 12 Blue</v>
      </c>
      <c r="C79" s="171">
        <f>VLOOKUP(B79,AU$3:AY$33,3,FALSE)</f>
        <v>1400</v>
      </c>
      <c r="D79" s="171">
        <f>IF(B72,B87,IF(D72,D87,C79))</f>
        <v>1400</v>
      </c>
      <c r="E79" s="171"/>
      <c r="F79" s="171"/>
      <c r="G79" s="171">
        <f>IF(E72,E87,IF(G72,G87,D79))</f>
        <v>1407.6880983472654</v>
      </c>
      <c r="H79" s="171"/>
      <c r="I79" s="171"/>
      <c r="J79" s="171">
        <f>IF(H72,H87,IF(J72,J87,G79))</f>
        <v>1407.6880983472654</v>
      </c>
      <c r="K79" s="171"/>
      <c r="L79" s="171"/>
      <c r="M79" s="171"/>
      <c r="N79" s="171">
        <f>IF(L72,L87,IF(N72,N87,J79))</f>
        <v>1414.6081132311178</v>
      </c>
      <c r="O79" s="171"/>
      <c r="P79" s="171"/>
      <c r="Q79" s="171">
        <f>IF(O72,O87,IF(Q72,Q87,N79))</f>
        <v>1414.6081132311178</v>
      </c>
      <c r="R79" s="171"/>
      <c r="S79" s="171"/>
      <c r="T79" s="171">
        <f>IF(R72,R87,IF(T72,T87,Q79))</f>
        <v>1422.8576396200242</v>
      </c>
      <c r="U79" s="171"/>
      <c r="V79" s="171"/>
      <c r="W79" s="171">
        <f>IF(U72,U87,IF(W72,W87,T79))</f>
        <v>1422.8576396200242</v>
      </c>
      <c r="X79" s="171"/>
      <c r="Y79" s="171"/>
      <c r="Z79" s="171">
        <f>IF(X72,X87,IF(Z72,Z87,W79))</f>
        <v>1422.8576396200242</v>
      </c>
      <c r="AA79" s="171"/>
      <c r="AB79" s="171"/>
      <c r="AC79" s="171">
        <f>IF(AA72,AA87,IF(AC72,AC87,Z79))</f>
        <v>1422.8576396200242</v>
      </c>
      <c r="AD79" s="171"/>
      <c r="AE79" s="171"/>
      <c r="AF79" s="171">
        <f>IF(AD72,AD87,IF(AF72,AF87,AC79))</f>
        <v>1422.8576396200242</v>
      </c>
      <c r="AG79" s="3"/>
      <c r="AH79" s="3"/>
      <c r="AK79" s="3"/>
      <c r="AL79" s="3"/>
      <c r="AM79" s="3"/>
      <c r="AN79" s="3"/>
      <c r="AO79" s="3"/>
      <c r="AP79" s="3"/>
      <c r="AT79" s="117" t="str">
        <f>B79</f>
        <v>Magnum 12 Blue</v>
      </c>
      <c r="AU79" s="117">
        <f>AF79</f>
        <v>1422.8576396200242</v>
      </c>
      <c r="AW79" s="170"/>
      <c r="BB79" s="170"/>
      <c r="BE79" s="170"/>
      <c r="BH79" s="170"/>
      <c r="BK79" s="170"/>
      <c r="BN79" s="170"/>
      <c r="BQ79" s="170"/>
      <c r="BT79" s="170"/>
      <c r="BW79" s="170"/>
      <c r="BZ79" s="170"/>
      <c r="CC79" s="170"/>
    </row>
    <row r="80" spans="1:81" s="117" customFormat="1" hidden="1">
      <c r="A80" s="171">
        <v>2</v>
      </c>
      <c r="B80" s="171" t="str">
        <f>E10</f>
        <v>SC Midlands KP Garnet</v>
      </c>
      <c r="C80" s="171">
        <f>VLOOKUP(B80,AU$3:AY$33,3,FALSE)</f>
        <v>1200</v>
      </c>
      <c r="D80" s="171">
        <f>IF(B73,B87,IF(D73,D87,C80))</f>
        <v>1216</v>
      </c>
      <c r="E80" s="171"/>
      <c r="F80" s="171"/>
      <c r="G80" s="171">
        <f>IF(E73,E87,IF(G73,G87,D80))</f>
        <v>1216</v>
      </c>
      <c r="H80" s="171"/>
      <c r="I80" s="171"/>
      <c r="J80" s="171">
        <f>IF(H73,H87,IF(J73,J87,G80))</f>
        <v>1230.9108099304831</v>
      </c>
      <c r="K80" s="171"/>
      <c r="L80" s="171"/>
      <c r="M80" s="171"/>
      <c r="N80" s="171">
        <f>IF(L73,L87,IF(N73,N87,J80))</f>
        <v>1230.9108099304831</v>
      </c>
      <c r="O80" s="171"/>
      <c r="P80" s="171"/>
      <c r="Q80" s="171">
        <f>IF(O73,O87,IF(Q73,Q87,N80))</f>
        <v>1230.9108099304831</v>
      </c>
      <c r="R80" s="171"/>
      <c r="S80" s="171"/>
      <c r="T80" s="171">
        <f>IF(R73,R87,IF(T73,T87,Q80))</f>
        <v>1222.6612835415767</v>
      </c>
      <c r="U80" s="171"/>
      <c r="V80" s="171"/>
      <c r="W80" s="171">
        <f>IF(U73,U87,IF(W73,W87,T80))</f>
        <v>1222.6612835415767</v>
      </c>
      <c r="X80" s="171"/>
      <c r="Y80" s="171"/>
      <c r="Z80" s="171">
        <f>IF(X73,X87,IF(Z73,Z87,W80))</f>
        <v>1222.6612835415767</v>
      </c>
      <c r="AA80" s="171"/>
      <c r="AB80" s="171"/>
      <c r="AC80" s="171">
        <f>IF(AA73,AA87,IF(AC73,AC87,Z80))</f>
        <v>1222.6612835415767</v>
      </c>
      <c r="AD80" s="171"/>
      <c r="AE80" s="171"/>
      <c r="AF80" s="171">
        <f>IF(AD73,AD87,IF(AF73,AF87,AC80))</f>
        <v>1222.6612835415767</v>
      </c>
      <c r="AG80" s="3"/>
      <c r="AH80" s="3"/>
      <c r="AK80" s="3"/>
      <c r="AM80" s="3"/>
      <c r="AN80" s="3"/>
      <c r="AO80" s="3"/>
      <c r="AP80" s="3"/>
      <c r="AT80" s="117" t="str">
        <f>B80</f>
        <v>SC Midlands KP Garnet</v>
      </c>
      <c r="AU80" s="117">
        <f>AF80</f>
        <v>1222.6612835415767</v>
      </c>
      <c r="AW80" s="170"/>
      <c r="BB80" s="170"/>
      <c r="BE80" s="170"/>
      <c r="BH80" s="170"/>
      <c r="BK80" s="170"/>
      <c r="BN80" s="170"/>
      <c r="BQ80" s="170"/>
      <c r="BT80" s="170"/>
      <c r="BW80" s="170"/>
      <c r="BZ80" s="170"/>
      <c r="CC80" s="170"/>
    </row>
    <row r="81" spans="1:81" s="117" customFormat="1" hidden="1">
      <c r="A81" s="171">
        <v>3</v>
      </c>
      <c r="B81" s="171" t="str">
        <f>E12</f>
        <v>Intense kids power col</v>
      </c>
      <c r="C81" s="171">
        <f>VLOOKUP(B81,AU$3:AY$33,3,FALSE)</f>
        <v>1200</v>
      </c>
      <c r="D81" s="171">
        <f>IF(B74,B87,IF(D74,D87,C81))</f>
        <v>1184</v>
      </c>
      <c r="E81" s="171"/>
      <c r="F81" s="171"/>
      <c r="G81" s="171">
        <f>IF(E74,E87,IF(G74,G87,D81))</f>
        <v>1184</v>
      </c>
      <c r="H81" s="171"/>
      <c r="I81" s="171"/>
      <c r="J81" s="171">
        <f>IF(H74,H87,IF(J74,J87,G81))</f>
        <v>1184</v>
      </c>
      <c r="K81" s="171"/>
      <c r="L81" s="171"/>
      <c r="M81" s="171"/>
      <c r="N81" s="171">
        <f>IF(L74,L87,IF(N74,N87,J81))</f>
        <v>1177.0799851161476</v>
      </c>
      <c r="O81" s="171"/>
      <c r="P81" s="171"/>
      <c r="Q81" s="171">
        <f>IF(O74,O87,IF(Q74,Q87,N81))</f>
        <v>1193.0947726176266</v>
      </c>
      <c r="R81" s="171"/>
      <c r="S81" s="171"/>
      <c r="T81" s="171">
        <f>IF(R74,R87,IF(T74,T87,Q81))</f>
        <v>1193.0947726176266</v>
      </c>
      <c r="U81" s="171"/>
      <c r="V81" s="171"/>
      <c r="W81" s="171">
        <f>IF(U74,U87,IF(W74,W87,T81))</f>
        <v>1193.0947726176266</v>
      </c>
      <c r="X81" s="171"/>
      <c r="Y81" s="171"/>
      <c r="Z81" s="171">
        <f>IF(X74,X87,IF(Z74,Z87,W81))</f>
        <v>1193.0947726176266</v>
      </c>
      <c r="AA81" s="171"/>
      <c r="AB81" s="171"/>
      <c r="AC81" s="171">
        <f>IF(AA74,AA87,IF(AC74,AC87,Z81))</f>
        <v>1193.0947726176266</v>
      </c>
      <c r="AD81" s="171"/>
      <c r="AE81" s="171"/>
      <c r="AF81" s="171">
        <f>IF(AD74,AD87,IF(AF74,AF87,AC81))</f>
        <v>1193.0947726176266</v>
      </c>
      <c r="AG81" s="3"/>
      <c r="AH81" s="3"/>
      <c r="AK81" s="3"/>
      <c r="AM81" s="3"/>
      <c r="AN81" s="3"/>
      <c r="AO81" s="3"/>
      <c r="AP81" s="3"/>
      <c r="AT81" s="117" t="str">
        <f>B81</f>
        <v>Intense kids power col</v>
      </c>
      <c r="AU81" s="117">
        <f>AF81</f>
        <v>1193.0947726176266</v>
      </c>
      <c r="AW81" s="170"/>
      <c r="BB81" s="170"/>
      <c r="BE81" s="170"/>
      <c r="BH81" s="170"/>
      <c r="BK81" s="170"/>
      <c r="BN81" s="170"/>
      <c r="BQ81" s="170"/>
      <c r="BT81" s="170"/>
      <c r="BW81" s="170"/>
      <c r="BZ81" s="170"/>
      <c r="CC81" s="170"/>
    </row>
    <row r="82" spans="1:81" s="117" customFormat="1" hidden="1">
      <c r="A82" s="171">
        <v>4</v>
      </c>
      <c r="B82" s="171" t="str">
        <f>E14</f>
        <v>Foothills Skylar</v>
      </c>
      <c r="C82" s="171">
        <f>VLOOKUP(B82,AU$3:AY$33,3,FALSE)</f>
        <v>1200</v>
      </c>
      <c r="D82" s="171">
        <f>IF(B75,B87,IF(D75,D87,C82))</f>
        <v>1200</v>
      </c>
      <c r="E82" s="171"/>
      <c r="F82" s="171"/>
      <c r="G82" s="171">
        <f>IF(E75,E87,IF(G75,G87,D82))</f>
        <v>1192.3119016527346</v>
      </c>
      <c r="H82" s="171"/>
      <c r="I82" s="171"/>
      <c r="J82" s="171">
        <f>IF(H75,H87,IF(J75,J87,G82))</f>
        <v>1177.4010917222515</v>
      </c>
      <c r="K82" s="171"/>
      <c r="L82" s="171"/>
      <c r="M82" s="171"/>
      <c r="N82" s="171">
        <f>IF(L75,L87,IF(N75,N87,J82))</f>
        <v>1177.4010917222515</v>
      </c>
      <c r="O82" s="171"/>
      <c r="P82" s="171"/>
      <c r="Q82" s="171">
        <f>IF(O75,O87,IF(Q75,Q87,N82))</f>
        <v>1161.3863042207724</v>
      </c>
      <c r="R82" s="171"/>
      <c r="S82" s="171"/>
      <c r="T82" s="171">
        <f>IF(R75,R87,IF(T75,T87,Q82))</f>
        <v>1161.3863042207724</v>
      </c>
      <c r="U82" s="171"/>
      <c r="V82" s="171"/>
      <c r="W82" s="171">
        <f>IF(U75,U87,IF(W75,W87,T82))</f>
        <v>1161.3863042207724</v>
      </c>
      <c r="X82" s="171"/>
      <c r="Y82" s="171"/>
      <c r="Z82" s="171">
        <f>IF(X75,X87,IF(Z75,Z87,W82))</f>
        <v>1161.3863042207724</v>
      </c>
      <c r="AA82" s="171"/>
      <c r="AB82" s="171"/>
      <c r="AC82" s="171">
        <f>IF(AA75,AA87,IF(AC75,AC87,Z82))</f>
        <v>1161.3863042207724</v>
      </c>
      <c r="AD82" s="171"/>
      <c r="AE82" s="171"/>
      <c r="AF82" s="171">
        <f>IF(AD75,AD87,IF(AF75,AF87,AC82))</f>
        <v>1161.3863042207724</v>
      </c>
      <c r="AG82" s="3"/>
      <c r="AH82" s="3"/>
      <c r="AK82" s="3"/>
      <c r="AM82" s="3"/>
      <c r="AN82" s="3"/>
      <c r="AO82" s="3"/>
      <c r="AP82" s="3"/>
      <c r="AT82" s="117" t="str">
        <f>B82</f>
        <v>Foothills Skylar</v>
      </c>
      <c r="AU82" s="117">
        <f>AF82</f>
        <v>1161.3863042207724</v>
      </c>
      <c r="AW82" s="170"/>
      <c r="BB82" s="170"/>
      <c r="BE82" s="170"/>
      <c r="BH82" s="170"/>
      <c r="BK82" s="170"/>
      <c r="BN82" s="170"/>
      <c r="BQ82" s="170"/>
      <c r="BT82" s="170"/>
      <c r="BW82" s="170"/>
      <c r="BZ82" s="170"/>
      <c r="CC82" s="170"/>
    </row>
    <row r="83" spans="1:81" s="117" customFormat="1" hidden="1">
      <c r="A83" s="171">
        <v>5</v>
      </c>
      <c r="B83" s="171">
        <f>E16</f>
        <v>0</v>
      </c>
      <c r="C83" s="171" t="e">
        <f>VLOOKUP(B83,AU$3:AY$33,3,FALSE)</f>
        <v>#N/A</v>
      </c>
      <c r="D83" s="171" t="e">
        <f>IF(B76,B87,IF(D76,D87,C83))</f>
        <v>#N/A</v>
      </c>
      <c r="E83" s="171"/>
      <c r="F83" s="171"/>
      <c r="G83" s="171" t="e">
        <f>IF(E76,E87,IF(G76,G87,D83))</f>
        <v>#N/A</v>
      </c>
      <c r="H83" s="171"/>
      <c r="I83" s="171"/>
      <c r="J83" s="171" t="e">
        <f>IF(H76,H87,IF(J76,J87,G83))</f>
        <v>#N/A</v>
      </c>
      <c r="K83" s="171"/>
      <c r="L83" s="171"/>
      <c r="M83" s="171"/>
      <c r="N83" s="171" t="e">
        <f>IF(L76,L87,IF(N76,N87,J83))</f>
        <v>#N/A</v>
      </c>
      <c r="O83" s="171"/>
      <c r="P83" s="171"/>
      <c r="Q83" s="171" t="e">
        <f>IF(O76,O87,IF(Q76,Q87,N83))</f>
        <v>#N/A</v>
      </c>
      <c r="R83" s="171"/>
      <c r="S83" s="171"/>
      <c r="T83" s="171" t="e">
        <f>IF(R76,R87,IF(T76,T87,Q83))</f>
        <v>#N/A</v>
      </c>
      <c r="U83" s="171"/>
      <c r="V83" s="171"/>
      <c r="W83" s="171" t="e">
        <f>IF(U76,U87,IF(W76,W87,T83))</f>
        <v>#N/A</v>
      </c>
      <c r="X83" s="171"/>
      <c r="Y83" s="171"/>
      <c r="Z83" s="171" t="e">
        <f>IF(X76,X87,IF(Z76,Z87,W83))</f>
        <v>#N/A</v>
      </c>
      <c r="AA83" s="171"/>
      <c r="AB83" s="171"/>
      <c r="AC83" s="171" t="e">
        <f>IF(AA76,AA87,IF(AC76,AC87,Z83))</f>
        <v>#N/A</v>
      </c>
      <c r="AD83" s="171"/>
      <c r="AE83" s="171"/>
      <c r="AF83" s="171" t="e">
        <f>IF(AD76,AD87,IF(AF76,AF87,AC83))</f>
        <v>#N/A</v>
      </c>
      <c r="AG83" s="3"/>
      <c r="AH83" s="3"/>
      <c r="AK83" s="3"/>
      <c r="AM83" s="3"/>
      <c r="AN83" s="3"/>
      <c r="AO83" s="3"/>
      <c r="AP83" s="3"/>
      <c r="AT83" s="117">
        <f>B83</f>
        <v>0</v>
      </c>
      <c r="AU83" s="117" t="e">
        <f>AF83</f>
        <v>#N/A</v>
      </c>
      <c r="AW83" s="170"/>
      <c r="BB83" s="170"/>
      <c r="BE83" s="170"/>
      <c r="BH83" s="170"/>
      <c r="BK83" s="170"/>
      <c r="BN83" s="170"/>
      <c r="BQ83" s="170"/>
      <c r="BT83" s="170"/>
      <c r="BW83" s="170"/>
      <c r="BZ83" s="170"/>
      <c r="CC83" s="170"/>
    </row>
    <row r="84" spans="1:81" s="117" customFormat="1" hidden="1">
      <c r="A84" s="171"/>
      <c r="B84" s="171"/>
      <c r="C84" s="171"/>
      <c r="D84" s="171"/>
      <c r="E84" s="171"/>
      <c r="F84" s="171"/>
      <c r="G84" s="171"/>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171"/>
      <c r="AG84" s="3"/>
      <c r="AH84" s="3"/>
      <c r="AK84" s="3"/>
      <c r="AM84" s="3"/>
      <c r="AN84" s="3"/>
      <c r="AO84" s="3"/>
      <c r="AP84" s="3"/>
      <c r="AW84" s="170"/>
      <c r="BB84" s="170"/>
      <c r="BE84" s="170"/>
      <c r="BH84" s="170"/>
      <c r="BK84" s="170"/>
      <c r="BN84" s="170"/>
      <c r="BQ84" s="170"/>
      <c r="BT84" s="170"/>
      <c r="BW84" s="170"/>
      <c r="BZ84" s="170"/>
      <c r="CC84" s="170"/>
    </row>
    <row r="85" spans="1:81" s="117" customFormat="1" hidden="1">
      <c r="A85" s="171" t="s">
        <v>225</v>
      </c>
      <c r="B85" s="171">
        <f>VLOOKUP(B24,$A79:$AF83,3,FALSE)</f>
        <v>1200</v>
      </c>
      <c r="C85" s="171">
        <v>1</v>
      </c>
      <c r="D85" s="171">
        <f>VLOOKUP(D24,$A79:$AF83,3,FALSE)</f>
        <v>1200</v>
      </c>
      <c r="E85" s="171">
        <f>VLOOKUP(E24,$A79:$AF83,4,FALSE)</f>
        <v>1400</v>
      </c>
      <c r="F85" s="171">
        <v>2</v>
      </c>
      <c r="G85" s="171">
        <f>VLOOKUP(G24,$A79:$AF83,4,FALSE)</f>
        <v>1200</v>
      </c>
      <c r="H85" s="171">
        <f>VLOOKUP(H24,$A79:$AF83,7,FALSE)</f>
        <v>1216</v>
      </c>
      <c r="I85" s="171">
        <v>3</v>
      </c>
      <c r="J85" s="171">
        <f>VLOOKUP(J24,$A79:$AF83,7,FALSE)</f>
        <v>1192.3119016527346</v>
      </c>
      <c r="K85" s="171"/>
      <c r="L85" s="171">
        <f>VLOOKUP(L24,$A79:$AF83,10,FALSE)</f>
        <v>1407.6880983472654</v>
      </c>
      <c r="M85" s="171">
        <v>4</v>
      </c>
      <c r="N85" s="171">
        <f>VLOOKUP(N24,$A79:$AF83,10,FALSE)</f>
        <v>1184</v>
      </c>
      <c r="O85" s="171">
        <f>VLOOKUP(O24,$A79:$AF83,14,FALSE)</f>
        <v>1177.0799851161476</v>
      </c>
      <c r="P85" s="171">
        <v>5</v>
      </c>
      <c r="Q85" s="171">
        <f>VLOOKUP(Q24,$A79:$AF83,14,FALSE)</f>
        <v>1177.4010917222515</v>
      </c>
      <c r="R85" s="171">
        <f>VLOOKUP(R24,$A79:$AF83,17,FALSE)</f>
        <v>1414.6081132311178</v>
      </c>
      <c r="S85" s="171">
        <v>6</v>
      </c>
      <c r="T85" s="171">
        <f>VLOOKUP(T24,$A79:$AF83,17,FALSE)</f>
        <v>1230.9108099304831</v>
      </c>
      <c r="U85" s="171" t="e">
        <f>VLOOKUP(U24,$A79:$AF83,20,FALSE)</f>
        <v>#N/A</v>
      </c>
      <c r="V85" s="171">
        <v>7</v>
      </c>
      <c r="W85" s="171" t="e">
        <f>VLOOKUP(W24,$A79:$AF83,20,FALSE)</f>
        <v>#N/A</v>
      </c>
      <c r="X85" s="171" t="e">
        <f>VLOOKUP(X24,$A79:$AF83,23,FALSE)</f>
        <v>#N/A</v>
      </c>
      <c r="Y85" s="171">
        <v>8</v>
      </c>
      <c r="Z85" s="171" t="e">
        <f>VLOOKUP(Z24,$A79:$AF83,23,FALSE)</f>
        <v>#N/A</v>
      </c>
      <c r="AA85" s="171" t="e">
        <f>VLOOKUP(AA24,$A79:$AF83,26,FALSE)</f>
        <v>#N/A</v>
      </c>
      <c r="AB85" s="171">
        <v>9</v>
      </c>
      <c r="AC85" s="171" t="e">
        <f>VLOOKUP(AC24,$A79:$AF83,26,FALSE)</f>
        <v>#N/A</v>
      </c>
      <c r="AD85" s="171" t="e">
        <f>VLOOKUP(AD24,$A79:$AF83,29,FALSE)</f>
        <v>#N/A</v>
      </c>
      <c r="AE85" s="171">
        <v>10</v>
      </c>
      <c r="AF85" s="171" t="e">
        <f>VLOOKUP(AF24,$A79:$AF83,29,FALSE)</f>
        <v>#N/A</v>
      </c>
      <c r="AG85" s="3"/>
      <c r="AH85" s="219"/>
      <c r="AI85" s="219"/>
      <c r="AJ85" s="219"/>
      <c r="AK85" s="219"/>
      <c r="AL85" s="219"/>
      <c r="AM85" s="219"/>
      <c r="AN85" s="219"/>
      <c r="AO85" s="220"/>
      <c r="AP85" s="220"/>
      <c r="AQ85" s="220"/>
      <c r="AR85" s="220"/>
      <c r="AW85" s="170"/>
      <c r="BB85" s="170"/>
      <c r="BE85" s="170"/>
      <c r="BH85" s="170"/>
      <c r="BK85" s="170"/>
      <c r="BN85" s="170"/>
      <c r="BQ85" s="170"/>
      <c r="BT85" s="170"/>
      <c r="BW85" s="170"/>
      <c r="BZ85" s="170"/>
      <c r="CC85" s="170"/>
    </row>
    <row r="86" spans="1:81" s="176" customFormat="1" hidden="1">
      <c r="A86" s="172" t="s">
        <v>226</v>
      </c>
      <c r="B86" s="172">
        <f>1/(1+(10^-((B85-D85)/400)))*(B36+D36)</f>
        <v>0.5</v>
      </c>
      <c r="C86" s="172"/>
      <c r="D86" s="172">
        <f>1/(1+(10^-((D85-B85)/400)))*(B36+D36)</f>
        <v>0.5</v>
      </c>
      <c r="E86" s="172">
        <f>1/(1+(10^-((E85-G85)/400)))*(E36+G36)</f>
        <v>0.75974692664795784</v>
      </c>
      <c r="F86" s="172"/>
      <c r="G86" s="172">
        <f>1/(1+(10^-((G85-E85)/400)))*(E36+G36)</f>
        <v>0.2402530733520421</v>
      </c>
      <c r="H86" s="172">
        <f>1/(1+(10^-((H85-J85)/400)))*(H36+J36)</f>
        <v>0.53403718967240621</v>
      </c>
      <c r="I86" s="172"/>
      <c r="J86" s="172">
        <f>1/(1+(10^-((J85-H85)/400)))*(H36+J36)</f>
        <v>0.46596281032759373</v>
      </c>
      <c r="K86" s="172"/>
      <c r="L86" s="172">
        <f>1/(1+(10^-((L85-N85)/400)))*(L36+N36)</f>
        <v>0.78374953487960952</v>
      </c>
      <c r="M86" s="172"/>
      <c r="N86" s="172">
        <f>1/(1+(10^-((N85-L85)/400)))*(L36+N36)</f>
        <v>0.21625046512039056</v>
      </c>
      <c r="O86" s="172">
        <f>1/(1+(10^-((O85-Q85)/400)))*(O36+Q36)</f>
        <v>0.49953789057877696</v>
      </c>
      <c r="P86" s="172"/>
      <c r="Q86" s="172">
        <f>1/(1+(10^-((Q85-O85)/400)))*(O36+Q36)</f>
        <v>0.50046210942122304</v>
      </c>
      <c r="R86" s="172">
        <f>1/(1+(10^-((R85-T85)/400)))*(R36+T36)</f>
        <v>0.74220230034667578</v>
      </c>
      <c r="S86" s="172"/>
      <c r="T86" s="172">
        <f>1/(1+(10^-((T85-R85)/400)))*(R36+T36)</f>
        <v>0.25779769965332422</v>
      </c>
      <c r="U86" s="172" t="e">
        <f>1/(1+(10^-((U85-W85)/400)))*(U36+W36)</f>
        <v>#N/A</v>
      </c>
      <c r="V86" s="172"/>
      <c r="W86" s="172" t="e">
        <f>1/(1+(10^-((W85-U85)/400)))*(U36+W36)</f>
        <v>#N/A</v>
      </c>
      <c r="X86" s="172" t="e">
        <f>1/(1+(10^-((X85-Z85)/400)))*(X36+Z36)</f>
        <v>#N/A</v>
      </c>
      <c r="Y86" s="172"/>
      <c r="Z86" s="172" t="e">
        <f>1/(1+(10^-((Z85-X85)/400)))*(X36+Z36)</f>
        <v>#N/A</v>
      </c>
      <c r="AA86" s="172" t="e">
        <f>1/(1+(10^-((AA85-AC85)/400)))*(AA36+AC36)</f>
        <v>#N/A</v>
      </c>
      <c r="AB86" s="172"/>
      <c r="AC86" s="172" t="e">
        <f>1/(1+(10^-((AC85-AA85)/400)))*(AA36+AC36)</f>
        <v>#N/A</v>
      </c>
      <c r="AD86" s="172" t="e">
        <f>1/(1+(10^-((AD85-AF85)/400)))*(AD36+AF36)</f>
        <v>#N/A</v>
      </c>
      <c r="AE86" s="172"/>
      <c r="AF86" s="172" t="e">
        <f>1/(1+(10^-((AF85-AD85)/400)))*(AD36+AF36)</f>
        <v>#N/A</v>
      </c>
      <c r="AG86" s="173"/>
      <c r="AH86" s="174"/>
      <c r="AI86" s="174"/>
      <c r="AJ86" s="174"/>
      <c r="AK86" s="174"/>
      <c r="AL86" s="174"/>
      <c r="AM86" s="174"/>
      <c r="AN86" s="174"/>
      <c r="AO86" s="175"/>
      <c r="AP86" s="175"/>
      <c r="AQ86" s="175"/>
      <c r="AR86" s="175"/>
      <c r="AW86" s="177"/>
      <c r="BB86" s="177"/>
      <c r="BE86" s="177"/>
      <c r="BH86" s="177"/>
      <c r="BK86" s="177"/>
      <c r="BN86" s="177"/>
      <c r="BQ86" s="177"/>
      <c r="BT86" s="177"/>
      <c r="BW86" s="177"/>
      <c r="BZ86" s="177"/>
      <c r="CC86" s="177"/>
    </row>
    <row r="87" spans="1:81" s="182" customFormat="1" hidden="1">
      <c r="A87" s="178" t="s">
        <v>227</v>
      </c>
      <c r="B87" s="178">
        <f>B85+(B36-B86)*$BA$1</f>
        <v>1216</v>
      </c>
      <c r="C87" s="178"/>
      <c r="D87" s="178">
        <f>D85+(D36-D86)*$BA$1</f>
        <v>1184</v>
      </c>
      <c r="E87" s="178">
        <f>E85+(E36-E86)*$BA$1</f>
        <v>1407.6880983472654</v>
      </c>
      <c r="F87" s="178"/>
      <c r="G87" s="178">
        <f>G85+(G36-G86)*$BA$1</f>
        <v>1192.3119016527346</v>
      </c>
      <c r="H87" s="178">
        <f>H85+(H36-H86)*$BA$1</f>
        <v>1230.9108099304831</v>
      </c>
      <c r="I87" s="178"/>
      <c r="J87" s="178">
        <f>J85+(J36-J86)*$BA$1</f>
        <v>1177.4010917222515</v>
      </c>
      <c r="K87" s="178"/>
      <c r="L87" s="178">
        <f>L85+(L36-L86)*$BA$1</f>
        <v>1414.6081132311178</v>
      </c>
      <c r="M87" s="178"/>
      <c r="N87" s="178">
        <f>N85+(N36-N86)*$BA$1</f>
        <v>1177.0799851161476</v>
      </c>
      <c r="O87" s="178">
        <f>O85+(O36-O86)*$BA$1</f>
        <v>1193.0947726176266</v>
      </c>
      <c r="P87" s="178"/>
      <c r="Q87" s="178">
        <f>Q85+(Q36-Q86)*$BA$1</f>
        <v>1161.3863042207724</v>
      </c>
      <c r="R87" s="178">
        <f>R85+(R36-R86)*$BA$1</f>
        <v>1422.8576396200242</v>
      </c>
      <c r="S87" s="178"/>
      <c r="T87" s="178">
        <f>T85+(T36-T86)*$BA$1</f>
        <v>1222.6612835415767</v>
      </c>
      <c r="U87" s="178" t="e">
        <f>U85+(U36-U86)*$BA$1</f>
        <v>#N/A</v>
      </c>
      <c r="V87" s="178"/>
      <c r="W87" s="178" t="e">
        <f>W85+(W36-W86)*$BA$1</f>
        <v>#N/A</v>
      </c>
      <c r="X87" s="178" t="e">
        <f>X85+(X36-X86)*$BA$1</f>
        <v>#N/A</v>
      </c>
      <c r="Y87" s="178"/>
      <c r="Z87" s="178" t="e">
        <f>Z85+(Z36-Z86)*$BA$1</f>
        <v>#N/A</v>
      </c>
      <c r="AA87" s="178" t="e">
        <f>AA85+(AA36-AA86)*$BA$1</f>
        <v>#N/A</v>
      </c>
      <c r="AB87" s="178"/>
      <c r="AC87" s="178" t="e">
        <f>AC85+(AC36-AC86)*$BA$1</f>
        <v>#N/A</v>
      </c>
      <c r="AD87" s="178" t="e">
        <f>AD85+(AD36-AD86)*$BA$1</f>
        <v>#N/A</v>
      </c>
      <c r="AE87" s="178"/>
      <c r="AF87" s="178" t="e">
        <f>AF85+(AF36-AF86)*$BA$1</f>
        <v>#N/A</v>
      </c>
      <c r="AG87" s="179"/>
      <c r="AH87" s="180"/>
      <c r="AI87" s="180"/>
      <c r="AJ87" s="180"/>
      <c r="AK87" s="180"/>
      <c r="AL87" s="180"/>
      <c r="AM87" s="180"/>
      <c r="AN87" s="180"/>
      <c r="AO87" s="181"/>
      <c r="AP87" s="181"/>
      <c r="AQ87" s="181"/>
      <c r="AR87" s="181"/>
      <c r="AW87" s="183"/>
      <c r="BB87" s="183"/>
      <c r="BE87" s="183"/>
      <c r="BH87" s="183"/>
      <c r="BK87" s="183"/>
      <c r="BN87" s="183"/>
      <c r="BQ87" s="183"/>
      <c r="BT87" s="183"/>
      <c r="BW87" s="183"/>
      <c r="BZ87" s="183"/>
      <c r="CC87" s="183"/>
    </row>
    <row r="88" spans="1:81" s="182" customFormat="1" hidden="1">
      <c r="A88" s="178"/>
      <c r="B88" s="178"/>
      <c r="C88" s="178"/>
      <c r="D88" s="178"/>
      <c r="E88" s="178"/>
      <c r="F88" s="178"/>
      <c r="G88" s="178"/>
      <c r="H88" s="178"/>
      <c r="I88" s="178"/>
      <c r="J88" s="178"/>
      <c r="K88" s="178"/>
      <c r="L88" s="178"/>
      <c r="M88" s="178"/>
      <c r="N88" s="178"/>
      <c r="O88" s="178"/>
      <c r="P88" s="178"/>
      <c r="Q88" s="178"/>
      <c r="R88" s="178"/>
      <c r="S88" s="178"/>
      <c r="T88" s="178"/>
      <c r="U88" s="178"/>
      <c r="V88" s="178"/>
      <c r="W88" s="178"/>
      <c r="X88" s="178"/>
      <c r="Y88" s="178"/>
      <c r="Z88" s="178"/>
      <c r="AA88" s="178"/>
      <c r="AB88" s="178"/>
      <c r="AC88" s="178"/>
      <c r="AD88" s="178"/>
      <c r="AE88" s="178"/>
      <c r="AF88" s="178"/>
      <c r="AG88" s="179"/>
      <c r="AH88" s="180"/>
      <c r="AI88" s="180"/>
      <c r="AJ88" s="180"/>
      <c r="AK88" s="180"/>
      <c r="AL88" s="180"/>
      <c r="AM88" s="180"/>
      <c r="AN88" s="180"/>
      <c r="AO88" s="181"/>
      <c r="AP88" s="181"/>
      <c r="AQ88" s="181"/>
      <c r="AR88" s="181"/>
      <c r="AW88" s="183"/>
      <c r="BB88" s="183"/>
      <c r="BE88" s="183"/>
      <c r="BH88" s="183"/>
      <c r="BK88" s="183"/>
      <c r="BN88" s="183"/>
      <c r="BQ88" s="183"/>
      <c r="BT88" s="183"/>
      <c r="BW88" s="183"/>
      <c r="BZ88" s="183"/>
      <c r="CC88" s="183"/>
    </row>
    <row r="89" spans="1:81" s="117" customFormat="1">
      <c r="A89" s="393" t="str">
        <f>IF($AL10=1,"Pool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Tiereaker : 1) Matches Won vs Lost (if 3 way tie then #4)  2) Head to Head  3) Game Win %  4) Total Pool Net Points  5) Flip a Coin</v>
      </c>
      <c r="B89" s="393"/>
      <c r="C89" s="393"/>
      <c r="D89" s="393"/>
      <c r="E89" s="393"/>
      <c r="F89" s="393"/>
      <c r="G89" s="393"/>
      <c r="H89" s="393"/>
      <c r="I89" s="393"/>
      <c r="J89" s="393"/>
      <c r="K89" s="393"/>
      <c r="L89" s="393"/>
      <c r="M89" s="393"/>
      <c r="N89" s="393"/>
      <c r="O89" s="393"/>
      <c r="P89" s="393"/>
      <c r="Q89" s="393"/>
      <c r="R89" s="393"/>
      <c r="S89" s="393"/>
      <c r="T89" s="393"/>
      <c r="U89" s="393"/>
      <c r="V89" s="393"/>
      <c r="W89" s="393"/>
      <c r="X89" s="393"/>
      <c r="Y89" s="393"/>
      <c r="Z89" s="393"/>
      <c r="AA89" s="393"/>
      <c r="AB89" s="393"/>
      <c r="AC89" s="393"/>
      <c r="AD89" s="393"/>
      <c r="AE89" s="393"/>
      <c r="AF89" s="393"/>
      <c r="AG89" s="393"/>
      <c r="AH89" s="393"/>
      <c r="AI89" s="393"/>
      <c r="AJ89" s="393"/>
      <c r="AK89" s="393"/>
      <c r="AL89" s="393"/>
      <c r="AM89" s="393"/>
      <c r="AN89" s="394"/>
      <c r="AO89" s="394"/>
      <c r="AP89" s="394"/>
      <c r="AQ89" s="394"/>
      <c r="AW89" s="170"/>
    </row>
    <row r="90" spans="1:81" s="117" customFormat="1" ht="13.5" thickBot="1">
      <c r="A90" s="395"/>
      <c r="B90" s="395"/>
      <c r="C90" s="395"/>
      <c r="D90" s="395"/>
      <c r="E90" s="395"/>
      <c r="F90" s="395"/>
      <c r="G90" s="395"/>
      <c r="H90" s="395"/>
      <c r="I90" s="395"/>
      <c r="J90" s="395"/>
      <c r="K90" s="395"/>
      <c r="L90" s="395"/>
      <c r="M90" s="395"/>
      <c r="N90" s="395"/>
      <c r="O90" s="395"/>
      <c r="P90" s="395"/>
      <c r="Q90" s="395"/>
      <c r="R90" s="395"/>
      <c r="S90" s="395"/>
      <c r="T90" s="395"/>
      <c r="U90" s="395"/>
      <c r="V90" s="395"/>
      <c r="W90" s="395"/>
      <c r="X90" s="395"/>
      <c r="Y90" s="395"/>
      <c r="Z90" s="395"/>
      <c r="AA90" s="395"/>
      <c r="AB90" s="395"/>
      <c r="AC90" s="395"/>
      <c r="AD90" s="395"/>
      <c r="AE90" s="395"/>
      <c r="AF90" s="395"/>
      <c r="AG90" s="395"/>
      <c r="AH90" s="395"/>
      <c r="AI90" s="395"/>
      <c r="AJ90" s="395"/>
      <c r="AK90" s="395"/>
      <c r="AL90" s="395"/>
      <c r="AM90" s="395"/>
      <c r="AN90" s="395"/>
      <c r="AO90" s="395"/>
      <c r="AP90" s="395"/>
      <c r="AQ90" s="395"/>
      <c r="AR90" s="395"/>
      <c r="AW90" s="170"/>
    </row>
    <row r="91" spans="1:81" ht="24" customHeight="1" thickBot="1">
      <c r="A91" s="96" t="s">
        <v>16</v>
      </c>
      <c r="B91" s="150" t="s">
        <v>294</v>
      </c>
      <c r="C91" s="274" t="s">
        <v>188</v>
      </c>
      <c r="D91" s="275"/>
      <c r="E91" s="275"/>
      <c r="F91" s="275"/>
      <c r="G91" s="275"/>
      <c r="H91" s="276"/>
      <c r="I91" s="277">
        <v>2</v>
      </c>
      <c r="J91" s="278"/>
      <c r="K91" s="279" t="str">
        <f>"Pool "&amp;B91&amp;" - Round 1 - Court "&amp;I91</f>
        <v>Pool B - Round 1 - Court 2</v>
      </c>
      <c r="L91" s="280"/>
      <c r="M91" s="280"/>
      <c r="N91" s="280"/>
      <c r="O91" s="280"/>
      <c r="P91" s="280"/>
      <c r="Q91" s="280"/>
      <c r="R91" s="280"/>
      <c r="S91" s="280"/>
      <c r="T91" s="280"/>
      <c r="U91" s="280"/>
      <c r="V91" s="280"/>
      <c r="W91" s="280"/>
      <c r="X91" s="280"/>
      <c r="Y91" s="280"/>
      <c r="Z91" s="280"/>
      <c r="AA91" s="280"/>
      <c r="AB91" s="280"/>
      <c r="AC91" s="280"/>
      <c r="AD91" s="280"/>
      <c r="AE91" s="280"/>
      <c r="AF91" s="280"/>
      <c r="AG91" s="280"/>
      <c r="AH91" s="280"/>
      <c r="AI91" s="280"/>
      <c r="AJ91" s="281"/>
      <c r="AK91" s="534"/>
      <c r="AL91" s="534"/>
      <c r="AM91" s="534"/>
      <c r="AN91" s="534"/>
      <c r="AO91" s="534"/>
      <c r="AP91" s="534"/>
      <c r="AQ91" s="534"/>
      <c r="AR91" s="534"/>
    </row>
    <row r="92" spans="1:81" ht="27" customHeight="1" thickBot="1">
      <c r="A92" s="97" t="s">
        <v>17</v>
      </c>
      <c r="B92" s="282" t="s">
        <v>5</v>
      </c>
      <c r="C92" s="295"/>
      <c r="D92" s="295"/>
      <c r="E92" s="295"/>
      <c r="F92" s="295"/>
      <c r="G92" s="295"/>
      <c r="H92" s="295"/>
      <c r="I92" s="295"/>
      <c r="J92" s="295"/>
      <c r="K92" s="295"/>
      <c r="L92" s="295"/>
      <c r="M92" s="282" t="str">
        <f>IF($AL95=0,"Games Won","Matches Won")</f>
        <v>Matches Won</v>
      </c>
      <c r="N92" s="295"/>
      <c r="O92" s="295"/>
      <c r="P92" s="295"/>
      <c r="Q92" s="295"/>
      <c r="R92" s="297"/>
      <c r="S92" s="282" t="str">
        <f>IF($AL95=0,"Games Lost","Matches Lost")</f>
        <v>Matches Lost</v>
      </c>
      <c r="T92" s="299"/>
      <c r="U92" s="299"/>
      <c r="V92" s="299"/>
      <c r="W92" s="300"/>
      <c r="X92" s="301" t="s">
        <v>18</v>
      </c>
      <c r="Y92" s="302"/>
      <c r="Z92" s="303"/>
      <c r="AA92" s="301" t="s">
        <v>189</v>
      </c>
      <c r="AB92" s="302"/>
      <c r="AC92" s="303"/>
      <c r="AD92" s="312" t="s">
        <v>19</v>
      </c>
      <c r="AE92" s="313"/>
      <c r="AF92" s="314"/>
      <c r="AG92" s="98" t="s">
        <v>20</v>
      </c>
      <c r="AH92" s="151" t="s">
        <v>4</v>
      </c>
      <c r="AI92" s="315" t="s">
        <v>21</v>
      </c>
      <c r="AJ92" s="316"/>
      <c r="AK92" s="99"/>
      <c r="AL92" s="100">
        <v>1</v>
      </c>
      <c r="AM92" s="101" t="s">
        <v>22</v>
      </c>
      <c r="AN92" s="101"/>
      <c r="AO92" s="101"/>
      <c r="AP92" s="101"/>
      <c r="AQ92" s="101"/>
      <c r="AR92" s="101"/>
    </row>
    <row r="93" spans="1:81" ht="18.75" customHeight="1">
      <c r="A93" s="562" t="str">
        <f>IF($AL94&gt;0,"1","")</f>
        <v>1</v>
      </c>
      <c r="B93" s="319" t="s">
        <v>5</v>
      </c>
      <c r="C93" s="320"/>
      <c r="D93" s="321"/>
      <c r="E93" s="322" t="str">
        <f>AU4</f>
        <v>Magnum Aiken 12 Yellow</v>
      </c>
      <c r="F93" s="323"/>
      <c r="G93" s="323"/>
      <c r="H93" s="323"/>
      <c r="I93" s="323"/>
      <c r="J93" s="323"/>
      <c r="K93" s="323"/>
      <c r="L93" s="324"/>
      <c r="M93" s="304">
        <f>IF($AL95=0,AG149,AG131)</f>
        <v>3</v>
      </c>
      <c r="N93" s="305"/>
      <c r="O93" s="305"/>
      <c r="P93" s="305"/>
      <c r="Q93" s="305"/>
      <c r="R93" s="297"/>
      <c r="S93" s="304">
        <f>IF($AL95=0,AH149,AH131)</f>
        <v>0</v>
      </c>
      <c r="T93" s="305"/>
      <c r="U93" s="305"/>
      <c r="V93" s="305"/>
      <c r="W93" s="305"/>
      <c r="X93" s="304">
        <f>AR109</f>
        <v>54</v>
      </c>
      <c r="Y93" s="305"/>
      <c r="Z93" s="305"/>
      <c r="AA93" s="563">
        <f>IF(AG143&gt;0,(AR109/AG143),0)</f>
        <v>0.70129870129870131</v>
      </c>
      <c r="AB93" s="564"/>
      <c r="AC93" s="564"/>
      <c r="AD93" s="565">
        <f>IF(AG157=0,0,(AG149/AG157))</f>
        <v>1</v>
      </c>
      <c r="AE93" s="566"/>
      <c r="AF93" s="567"/>
      <c r="AG93" s="331">
        <v>1</v>
      </c>
      <c r="AH93" s="331">
        <v>1</v>
      </c>
      <c r="AI93" s="333"/>
      <c r="AJ93" s="334"/>
      <c r="AK93" s="99"/>
      <c r="AL93" s="100">
        <v>6</v>
      </c>
      <c r="AM93" s="101" t="s">
        <v>23</v>
      </c>
      <c r="AN93" s="101"/>
      <c r="AO93" s="101"/>
      <c r="AP93" s="101"/>
      <c r="AQ93" s="101"/>
      <c r="AR93" s="101"/>
    </row>
    <row r="94" spans="1:81" ht="18.75" customHeight="1" thickBot="1">
      <c r="A94" s="568"/>
      <c r="B94" s="337" t="s">
        <v>6</v>
      </c>
      <c r="C94" s="338"/>
      <c r="D94" s="339"/>
      <c r="E94" s="340" t="str">
        <f>AV4</f>
        <v>fj2magnm5pm</v>
      </c>
      <c r="F94" s="341"/>
      <c r="G94" s="341"/>
      <c r="H94" s="341"/>
      <c r="I94" s="341"/>
      <c r="J94" s="341"/>
      <c r="K94" s="341"/>
      <c r="L94" s="341"/>
      <c r="M94" s="306"/>
      <c r="N94" s="307"/>
      <c r="O94" s="307"/>
      <c r="P94" s="307"/>
      <c r="Q94" s="307"/>
      <c r="R94" s="297"/>
      <c r="S94" s="306"/>
      <c r="T94" s="307"/>
      <c r="U94" s="307"/>
      <c r="V94" s="307"/>
      <c r="W94" s="307"/>
      <c r="X94" s="306"/>
      <c r="Y94" s="307"/>
      <c r="Z94" s="307"/>
      <c r="AA94" s="569"/>
      <c r="AB94" s="570"/>
      <c r="AC94" s="570"/>
      <c r="AD94" s="571"/>
      <c r="AE94" s="572"/>
      <c r="AF94" s="573"/>
      <c r="AG94" s="332"/>
      <c r="AH94" s="332"/>
      <c r="AI94" s="335"/>
      <c r="AJ94" s="336"/>
      <c r="AK94" s="99"/>
      <c r="AL94" s="100">
        <v>4</v>
      </c>
      <c r="AM94" s="101" t="s">
        <v>190</v>
      </c>
      <c r="AN94" s="99"/>
      <c r="AO94" s="99"/>
      <c r="AP94" s="99"/>
      <c r="AQ94" s="99"/>
      <c r="AR94" s="99"/>
    </row>
    <row r="95" spans="1:81" ht="18.75" customHeight="1">
      <c r="A95" s="562" t="str">
        <f>IF($AL94&gt;1,"2","")</f>
        <v>2</v>
      </c>
      <c r="B95" s="319" t="s">
        <v>5</v>
      </c>
      <c r="C95" s="320"/>
      <c r="D95" s="321"/>
      <c r="E95" s="322" t="str">
        <f>AU7</f>
        <v>SC Midlands KP Black</v>
      </c>
      <c r="F95" s="323"/>
      <c r="G95" s="323"/>
      <c r="H95" s="323"/>
      <c r="I95" s="323"/>
      <c r="J95" s="323"/>
      <c r="K95" s="323"/>
      <c r="L95" s="324"/>
      <c r="M95" s="304">
        <f>IF($AL95=0,AG150,AG132)</f>
        <v>1</v>
      </c>
      <c r="N95" s="305"/>
      <c r="O95" s="305"/>
      <c r="P95" s="305"/>
      <c r="Q95" s="305"/>
      <c r="R95" s="297"/>
      <c r="S95" s="304">
        <f>IF($AL95=0,AH150,AH132)</f>
        <v>2</v>
      </c>
      <c r="T95" s="305"/>
      <c r="U95" s="305"/>
      <c r="V95" s="305"/>
      <c r="W95" s="305"/>
      <c r="X95" s="304">
        <f>AR110</f>
        <v>-12</v>
      </c>
      <c r="Y95" s="305"/>
      <c r="Z95" s="305"/>
      <c r="AA95" s="563">
        <f>IF(AG144&gt;0,(AR110/AG144),0)</f>
        <v>-0.2</v>
      </c>
      <c r="AB95" s="564"/>
      <c r="AC95" s="564"/>
      <c r="AD95" s="565">
        <f>IF(AG158=0,0,(AG150/AG158))</f>
        <v>0.33333333333333331</v>
      </c>
      <c r="AE95" s="566"/>
      <c r="AF95" s="567"/>
      <c r="AG95" s="331">
        <v>3</v>
      </c>
      <c r="AH95" s="331">
        <v>1</v>
      </c>
      <c r="AI95" s="333"/>
      <c r="AJ95" s="334"/>
      <c r="AK95" s="99"/>
      <c r="AL95" s="100">
        <v>1</v>
      </c>
      <c r="AM95" s="101" t="s">
        <v>24</v>
      </c>
      <c r="AN95" s="101"/>
      <c r="AO95" s="101"/>
      <c r="AP95" s="101"/>
      <c r="AQ95" s="101"/>
      <c r="AR95" s="101"/>
    </row>
    <row r="96" spans="1:81" ht="18.75" customHeight="1" thickBot="1">
      <c r="A96" s="568"/>
      <c r="B96" s="342" t="s">
        <v>6</v>
      </c>
      <c r="C96" s="343"/>
      <c r="D96" s="343"/>
      <c r="E96" s="340" t="str">
        <f>AV7</f>
        <v>fj1scmid1pm</v>
      </c>
      <c r="F96" s="341"/>
      <c r="G96" s="341"/>
      <c r="H96" s="341"/>
      <c r="I96" s="341"/>
      <c r="J96" s="341"/>
      <c r="K96" s="341"/>
      <c r="L96" s="341"/>
      <c r="M96" s="306"/>
      <c r="N96" s="307"/>
      <c r="O96" s="307"/>
      <c r="P96" s="307"/>
      <c r="Q96" s="307"/>
      <c r="R96" s="297"/>
      <c r="S96" s="306"/>
      <c r="T96" s="307"/>
      <c r="U96" s="307"/>
      <c r="V96" s="307"/>
      <c r="W96" s="307"/>
      <c r="X96" s="306"/>
      <c r="Y96" s="307"/>
      <c r="Z96" s="307"/>
      <c r="AA96" s="569"/>
      <c r="AB96" s="570"/>
      <c r="AC96" s="570"/>
      <c r="AD96" s="571"/>
      <c r="AE96" s="572"/>
      <c r="AF96" s="573"/>
      <c r="AG96" s="332"/>
      <c r="AH96" s="332"/>
      <c r="AI96" s="335"/>
      <c r="AJ96" s="336"/>
      <c r="AK96" s="99"/>
      <c r="AL96" s="100">
        <v>1</v>
      </c>
      <c r="AM96" s="101" t="s">
        <v>25</v>
      </c>
      <c r="AN96" s="99"/>
      <c r="AO96" s="99"/>
      <c r="AP96" s="99"/>
      <c r="AQ96" s="99"/>
      <c r="AR96" s="99"/>
    </row>
    <row r="97" spans="1:44" ht="18.75" customHeight="1">
      <c r="A97" s="562" t="str">
        <f>IF($AL94&gt;2,"3","")</f>
        <v>3</v>
      </c>
      <c r="B97" s="344" t="s">
        <v>5</v>
      </c>
      <c r="C97" s="345"/>
      <c r="D97" s="345"/>
      <c r="E97" s="322" t="str">
        <f>AU10</f>
        <v>SC Midlands KP Silver</v>
      </c>
      <c r="F97" s="323"/>
      <c r="G97" s="323"/>
      <c r="H97" s="323"/>
      <c r="I97" s="323"/>
      <c r="J97" s="323"/>
      <c r="K97" s="323"/>
      <c r="L97" s="324"/>
      <c r="M97" s="304">
        <f>IF($AL95=0,AG151,AG133)</f>
        <v>0</v>
      </c>
      <c r="N97" s="305"/>
      <c r="O97" s="305"/>
      <c r="P97" s="305"/>
      <c r="Q97" s="305"/>
      <c r="R97" s="297"/>
      <c r="S97" s="304">
        <f>IF($AL95=0,AH151,AH133)</f>
        <v>3</v>
      </c>
      <c r="T97" s="305"/>
      <c r="U97" s="305"/>
      <c r="V97" s="305"/>
      <c r="W97" s="305"/>
      <c r="X97" s="304">
        <f>AR111</f>
        <v>-23</v>
      </c>
      <c r="Y97" s="305"/>
      <c r="Z97" s="305"/>
      <c r="AA97" s="563">
        <f>IF(AG145&gt;0,(AR111/AG145),0)</f>
        <v>-0.33333333333333331</v>
      </c>
      <c r="AB97" s="564"/>
      <c r="AC97" s="564"/>
      <c r="AD97" s="565">
        <f>IF(AG159=0,0,(AG151/AG159))</f>
        <v>0</v>
      </c>
      <c r="AE97" s="566"/>
      <c r="AF97" s="567"/>
      <c r="AG97" s="331">
        <v>4</v>
      </c>
      <c r="AH97" s="331">
        <v>1</v>
      </c>
      <c r="AI97" s="333"/>
      <c r="AJ97" s="334"/>
      <c r="AK97" s="103"/>
      <c r="AL97" s="100">
        <v>3</v>
      </c>
      <c r="AM97" s="152" t="s">
        <v>191</v>
      </c>
      <c r="AN97" s="101"/>
      <c r="AO97" s="101"/>
      <c r="AP97" s="101"/>
      <c r="AQ97" s="101"/>
      <c r="AR97" s="101"/>
    </row>
    <row r="98" spans="1:44" ht="18.75" customHeight="1" thickBot="1">
      <c r="A98" s="568"/>
      <c r="B98" s="342" t="s">
        <v>6</v>
      </c>
      <c r="C98" s="343"/>
      <c r="D98" s="343"/>
      <c r="E98" s="340" t="str">
        <f>AV10</f>
        <v>fj1scmid4pm</v>
      </c>
      <c r="F98" s="341"/>
      <c r="G98" s="341"/>
      <c r="H98" s="341"/>
      <c r="I98" s="341"/>
      <c r="J98" s="341"/>
      <c r="K98" s="341"/>
      <c r="L98" s="341"/>
      <c r="M98" s="306"/>
      <c r="N98" s="307"/>
      <c r="O98" s="307"/>
      <c r="P98" s="307"/>
      <c r="Q98" s="307"/>
      <c r="R98" s="297"/>
      <c r="S98" s="306"/>
      <c r="T98" s="307"/>
      <c r="U98" s="307"/>
      <c r="V98" s="307"/>
      <c r="W98" s="307"/>
      <c r="X98" s="306"/>
      <c r="Y98" s="307"/>
      <c r="Z98" s="307"/>
      <c r="AA98" s="569"/>
      <c r="AB98" s="570"/>
      <c r="AC98" s="570"/>
      <c r="AD98" s="571"/>
      <c r="AE98" s="572"/>
      <c r="AF98" s="573"/>
      <c r="AG98" s="332"/>
      <c r="AH98" s="332"/>
      <c r="AI98" s="335"/>
      <c r="AJ98" s="336"/>
      <c r="AK98" s="103"/>
      <c r="AL98" s="153"/>
      <c r="AM98" s="154"/>
      <c r="AN98" s="154"/>
      <c r="AO98" s="154"/>
      <c r="AP98" s="154"/>
      <c r="AQ98" s="154"/>
      <c r="AR98" s="99"/>
    </row>
    <row r="99" spans="1:44" ht="18.75" customHeight="1">
      <c r="A99" s="562" t="str">
        <f>IF($AL94&gt;3,"4","")</f>
        <v>4</v>
      </c>
      <c r="B99" s="344" t="s">
        <v>5</v>
      </c>
      <c r="C99" s="345"/>
      <c r="D99" s="345"/>
      <c r="E99" s="322" t="str">
        <f>AU12</f>
        <v>Foothills Vanessa</v>
      </c>
      <c r="F99" s="323"/>
      <c r="G99" s="323"/>
      <c r="H99" s="323"/>
      <c r="I99" s="323"/>
      <c r="J99" s="323"/>
      <c r="K99" s="323"/>
      <c r="L99" s="324"/>
      <c r="M99" s="304">
        <f>IF($AL95=0,AG152,AG134)</f>
        <v>2</v>
      </c>
      <c r="N99" s="305"/>
      <c r="O99" s="305"/>
      <c r="P99" s="305"/>
      <c r="Q99" s="305"/>
      <c r="R99" s="297"/>
      <c r="S99" s="304">
        <f>IF($AL95=0,AH152,AH134)</f>
        <v>1</v>
      </c>
      <c r="T99" s="305"/>
      <c r="U99" s="305"/>
      <c r="V99" s="305"/>
      <c r="W99" s="305"/>
      <c r="X99" s="304">
        <f>AR112</f>
        <v>-19</v>
      </c>
      <c r="Y99" s="305"/>
      <c r="Z99" s="305"/>
      <c r="AA99" s="563">
        <f>IF(AG146&gt;0,(AR112/AG146),0)</f>
        <v>-0.2638888888888889</v>
      </c>
      <c r="AB99" s="564"/>
      <c r="AC99" s="564"/>
      <c r="AD99" s="565">
        <f>IF(AG160=0,0,(AG152/AG160))</f>
        <v>0.66666666666666663</v>
      </c>
      <c r="AE99" s="566"/>
      <c r="AF99" s="567"/>
      <c r="AG99" s="331">
        <v>2</v>
      </c>
      <c r="AH99" s="331">
        <v>1</v>
      </c>
      <c r="AI99" s="333"/>
      <c r="AJ99" s="334"/>
      <c r="AK99" s="534"/>
      <c r="AL99" s="154"/>
      <c r="AM99" s="154"/>
      <c r="AN99" s="154"/>
      <c r="AO99" s="154"/>
      <c r="AP99" s="154"/>
      <c r="AQ99" s="154"/>
      <c r="AR99" s="101"/>
    </row>
    <row r="100" spans="1:44" ht="18.75" customHeight="1" thickBot="1">
      <c r="A100" s="568"/>
      <c r="B100" s="342" t="s">
        <v>6</v>
      </c>
      <c r="C100" s="343"/>
      <c r="D100" s="343"/>
      <c r="E100" s="340" t="str">
        <f>AV12</f>
        <v>fj2footh2pm</v>
      </c>
      <c r="F100" s="341"/>
      <c r="G100" s="341"/>
      <c r="H100" s="341"/>
      <c r="I100" s="341"/>
      <c r="J100" s="341"/>
      <c r="K100" s="341"/>
      <c r="L100" s="341"/>
      <c r="M100" s="306"/>
      <c r="N100" s="307"/>
      <c r="O100" s="307"/>
      <c r="P100" s="307"/>
      <c r="Q100" s="307"/>
      <c r="R100" s="297"/>
      <c r="S100" s="306"/>
      <c r="T100" s="307"/>
      <c r="U100" s="307"/>
      <c r="V100" s="307"/>
      <c r="W100" s="307"/>
      <c r="X100" s="306"/>
      <c r="Y100" s="307"/>
      <c r="Z100" s="307"/>
      <c r="AA100" s="569"/>
      <c r="AB100" s="570"/>
      <c r="AC100" s="570"/>
      <c r="AD100" s="571"/>
      <c r="AE100" s="572"/>
      <c r="AF100" s="573"/>
      <c r="AG100" s="332"/>
      <c r="AH100" s="332"/>
      <c r="AI100" s="335"/>
      <c r="AJ100" s="336"/>
      <c r="AK100" s="534"/>
      <c r="AL100" s="154"/>
      <c r="AM100" s="154"/>
      <c r="AN100" s="154"/>
      <c r="AO100" s="154"/>
      <c r="AP100" s="154"/>
      <c r="AQ100" s="154"/>
      <c r="AR100" s="534"/>
    </row>
    <row r="101" spans="1:44" ht="18.75" customHeight="1">
      <c r="A101" s="562" t="str">
        <f>IF($AL94&gt;4,"5","")</f>
        <v/>
      </c>
      <c r="B101" s="344" t="s">
        <v>5</v>
      </c>
      <c r="C101" s="345"/>
      <c r="D101" s="345"/>
      <c r="E101" s="346">
        <f>AU16</f>
        <v>0</v>
      </c>
      <c r="F101" s="347"/>
      <c r="G101" s="347"/>
      <c r="H101" s="347"/>
      <c r="I101" s="347"/>
      <c r="J101" s="347"/>
      <c r="K101" s="347"/>
      <c r="L101" s="348"/>
      <c r="M101" s="304">
        <f>IF($AL95=0,AG153,AG135)</f>
        <v>0</v>
      </c>
      <c r="N101" s="305"/>
      <c r="O101" s="305"/>
      <c r="P101" s="305"/>
      <c r="Q101" s="305"/>
      <c r="R101" s="297"/>
      <c r="S101" s="304">
        <f>IF($AL95=0,AH153,AH135)</f>
        <v>0</v>
      </c>
      <c r="T101" s="305"/>
      <c r="U101" s="305"/>
      <c r="V101" s="305"/>
      <c r="W101" s="305"/>
      <c r="X101" s="304">
        <f>AR113</f>
        <v>0</v>
      </c>
      <c r="Y101" s="305"/>
      <c r="Z101" s="305"/>
      <c r="AA101" s="563">
        <f>IF(AG147&gt;0,(AR113/AG147),0)</f>
        <v>0</v>
      </c>
      <c r="AB101" s="564"/>
      <c r="AC101" s="564"/>
      <c r="AD101" s="565">
        <f>IF(AG161=0,0,(AG153/AG161))</f>
        <v>0</v>
      </c>
      <c r="AE101" s="566"/>
      <c r="AF101" s="567"/>
      <c r="AG101" s="331"/>
      <c r="AH101" s="331"/>
      <c r="AI101" s="333"/>
      <c r="AJ101" s="334"/>
      <c r="AK101" s="534"/>
      <c r="AL101" s="154"/>
      <c r="AM101" s="154"/>
      <c r="AN101" s="154"/>
      <c r="AO101" s="154"/>
      <c r="AP101" s="154"/>
      <c r="AQ101" s="154"/>
      <c r="AR101" s="534"/>
    </row>
    <row r="102" spans="1:44" ht="18.75" customHeight="1" thickBot="1">
      <c r="A102" s="568"/>
      <c r="B102" s="359" t="s">
        <v>6</v>
      </c>
      <c r="C102" s="360"/>
      <c r="D102" s="360"/>
      <c r="E102" s="361">
        <f>AV16</f>
        <v>0</v>
      </c>
      <c r="F102" s="362"/>
      <c r="G102" s="362"/>
      <c r="H102" s="362"/>
      <c r="I102" s="362"/>
      <c r="J102" s="362"/>
      <c r="K102" s="362"/>
      <c r="L102" s="362"/>
      <c r="M102" s="349"/>
      <c r="N102" s="350"/>
      <c r="O102" s="350"/>
      <c r="P102" s="350"/>
      <c r="Q102" s="350"/>
      <c r="R102" s="297"/>
      <c r="S102" s="306"/>
      <c r="T102" s="307"/>
      <c r="U102" s="307"/>
      <c r="V102" s="307"/>
      <c r="W102" s="307"/>
      <c r="X102" s="306"/>
      <c r="Y102" s="307"/>
      <c r="Z102" s="307"/>
      <c r="AA102" s="569"/>
      <c r="AB102" s="570"/>
      <c r="AC102" s="570"/>
      <c r="AD102" s="571"/>
      <c r="AE102" s="572"/>
      <c r="AF102" s="573"/>
      <c r="AG102" s="332"/>
      <c r="AH102" s="356"/>
      <c r="AI102" s="335"/>
      <c r="AJ102" s="336"/>
      <c r="AK102" s="534"/>
      <c r="AL102" s="154"/>
      <c r="AM102" s="154"/>
      <c r="AN102" s="154"/>
      <c r="AO102" s="154"/>
      <c r="AP102" s="154"/>
      <c r="AQ102" s="154"/>
      <c r="AR102" s="534"/>
    </row>
    <row r="103" spans="1:44" ht="21" customHeight="1" thickTop="1" thickBot="1">
      <c r="A103" s="106"/>
      <c r="B103" s="363" t="s">
        <v>1251</v>
      </c>
      <c r="C103" s="364"/>
      <c r="D103" s="364"/>
      <c r="E103" s="364"/>
      <c r="F103" s="364"/>
      <c r="G103" s="364"/>
      <c r="H103" s="364"/>
      <c r="I103" s="364"/>
      <c r="J103" s="364"/>
      <c r="K103" s="364"/>
      <c r="L103" s="364"/>
      <c r="M103" s="364"/>
      <c r="N103" s="364"/>
      <c r="O103" s="364"/>
      <c r="P103" s="364"/>
      <c r="Q103" s="364"/>
      <c r="R103" s="364"/>
      <c r="S103" s="364"/>
      <c r="T103" s="364"/>
      <c r="U103" s="364"/>
      <c r="V103" s="364"/>
      <c r="W103" s="364"/>
      <c r="X103" s="364"/>
      <c r="Y103" s="364"/>
      <c r="Z103" s="364"/>
      <c r="AA103" s="364"/>
      <c r="AB103" s="364"/>
      <c r="AC103" s="364"/>
      <c r="AD103" s="364"/>
      <c r="AE103" s="364"/>
      <c r="AF103" s="364"/>
      <c r="AG103" s="364"/>
      <c r="AH103" s="364"/>
      <c r="AI103" s="364"/>
      <c r="AJ103" s="365"/>
      <c r="AK103" s="534"/>
      <c r="AL103" s="154"/>
      <c r="AM103" s="154"/>
      <c r="AN103" s="154"/>
      <c r="AO103" s="154"/>
      <c r="AP103" s="154"/>
      <c r="AQ103" s="154"/>
      <c r="AR103" s="534"/>
    </row>
    <row r="104" spans="1:44" ht="13.5" thickTop="1">
      <c r="A104" s="3" t="s">
        <v>27</v>
      </c>
      <c r="B104" s="372">
        <v>0.35416666666666669</v>
      </c>
      <c r="C104" s="373"/>
      <c r="D104" s="374"/>
      <c r="E104" s="372">
        <v>0.39583333333333331</v>
      </c>
      <c r="F104" s="373"/>
      <c r="G104" s="374"/>
      <c r="H104" s="372">
        <v>0.4375</v>
      </c>
      <c r="I104" s="373"/>
      <c r="J104" s="374"/>
      <c r="K104" s="579"/>
      <c r="L104" s="372">
        <v>0.47916666666666669</v>
      </c>
      <c r="M104" s="373"/>
      <c r="N104" s="374"/>
      <c r="O104" s="372">
        <v>0.52083333333333337</v>
      </c>
      <c r="P104" s="373"/>
      <c r="Q104" s="374"/>
      <c r="R104" s="372">
        <v>6.25E-2</v>
      </c>
      <c r="S104" s="373"/>
      <c r="T104" s="374"/>
      <c r="U104" s="372"/>
      <c r="V104" s="373"/>
      <c r="W104" s="374"/>
      <c r="X104" s="372"/>
      <c r="Y104" s="373"/>
      <c r="Z104" s="374"/>
      <c r="AA104" s="372"/>
      <c r="AB104" s="373"/>
      <c r="AC104" s="374"/>
      <c r="AD104" s="372"/>
      <c r="AE104" s="373"/>
      <c r="AF104" s="374"/>
      <c r="AG104" s="375" t="s">
        <v>199</v>
      </c>
      <c r="AH104" s="376"/>
      <c r="AI104" s="376"/>
      <c r="AJ104" s="376"/>
      <c r="AK104" s="377"/>
      <c r="AL104" s="377"/>
      <c r="AM104" s="377"/>
      <c r="AN104" s="377"/>
      <c r="AO104" s="377"/>
      <c r="AP104" s="377"/>
      <c r="AQ104" s="377"/>
      <c r="AR104" s="378"/>
    </row>
    <row r="105" spans="1:44">
      <c r="A105" s="107" t="s">
        <v>28</v>
      </c>
      <c r="B105" s="383"/>
      <c r="C105" s="384"/>
      <c r="D105" s="385"/>
      <c r="E105" s="383"/>
      <c r="F105" s="384"/>
      <c r="G105" s="385"/>
      <c r="H105" s="383"/>
      <c r="I105" s="384"/>
      <c r="J105" s="385"/>
      <c r="K105" s="580"/>
      <c r="L105" s="383"/>
      <c r="M105" s="384"/>
      <c r="N105" s="385"/>
      <c r="O105" s="383"/>
      <c r="P105" s="384"/>
      <c r="Q105" s="385"/>
      <c r="R105" s="383"/>
      <c r="S105" s="384"/>
      <c r="T105" s="385"/>
      <c r="U105" s="383"/>
      <c r="V105" s="384"/>
      <c r="W105" s="385"/>
      <c r="X105" s="383"/>
      <c r="Y105" s="384"/>
      <c r="Z105" s="385"/>
      <c r="AA105" s="383"/>
      <c r="AB105" s="384"/>
      <c r="AC105" s="385"/>
      <c r="AD105" s="383"/>
      <c r="AE105" s="384"/>
      <c r="AF105" s="385"/>
      <c r="AG105" s="375"/>
      <c r="AH105" s="376"/>
      <c r="AI105" s="376"/>
      <c r="AJ105" s="376"/>
      <c r="AK105" s="376"/>
      <c r="AL105" s="376"/>
      <c r="AM105" s="376"/>
      <c r="AN105" s="376"/>
      <c r="AO105" s="376"/>
      <c r="AP105" s="376"/>
      <c r="AQ105" s="376"/>
      <c r="AR105" s="379"/>
    </row>
    <row r="106" spans="1:44">
      <c r="A106" s="107" t="s">
        <v>29</v>
      </c>
      <c r="B106" s="383"/>
      <c r="C106" s="384"/>
      <c r="D106" s="385"/>
      <c r="E106" s="383"/>
      <c r="F106" s="384"/>
      <c r="G106" s="385"/>
      <c r="H106" s="383"/>
      <c r="I106" s="384"/>
      <c r="J106" s="385"/>
      <c r="K106" s="580"/>
      <c r="L106" s="383"/>
      <c r="M106" s="384"/>
      <c r="N106" s="385"/>
      <c r="O106" s="383"/>
      <c r="P106" s="384"/>
      <c r="Q106" s="385"/>
      <c r="R106" s="383"/>
      <c r="S106" s="384"/>
      <c r="T106" s="385"/>
      <c r="U106" s="383"/>
      <c r="V106" s="384"/>
      <c r="W106" s="385"/>
      <c r="X106" s="383"/>
      <c r="Y106" s="384"/>
      <c r="Z106" s="385"/>
      <c r="AA106" s="383"/>
      <c r="AB106" s="384"/>
      <c r="AC106" s="385"/>
      <c r="AD106" s="383"/>
      <c r="AE106" s="384"/>
      <c r="AF106" s="385"/>
      <c r="AG106" s="375"/>
      <c r="AH106" s="376"/>
      <c r="AI106" s="376"/>
      <c r="AJ106" s="376"/>
      <c r="AK106" s="376"/>
      <c r="AL106" s="376"/>
      <c r="AM106" s="376"/>
      <c r="AN106" s="376"/>
      <c r="AO106" s="376"/>
      <c r="AP106" s="376"/>
      <c r="AQ106" s="376"/>
      <c r="AR106" s="379"/>
    </row>
    <row r="107" spans="1:44" ht="13.5" thickBot="1">
      <c r="A107" s="534"/>
      <c r="B107" s="386" t="s">
        <v>30</v>
      </c>
      <c r="C107" s="387"/>
      <c r="D107" s="388"/>
      <c r="E107" s="386" t="str">
        <f>IF(AL93&gt;1,"Match 2","")</f>
        <v>Match 2</v>
      </c>
      <c r="F107" s="387"/>
      <c r="G107" s="388"/>
      <c r="H107" s="386" t="str">
        <f>IF(AL93&gt;2,"Match 3","")</f>
        <v>Match 3</v>
      </c>
      <c r="I107" s="387"/>
      <c r="J107" s="388"/>
      <c r="K107" s="580"/>
      <c r="L107" s="386" t="str">
        <f>IF(AL93&gt;3,"Match 4","")</f>
        <v>Match 4</v>
      </c>
      <c r="M107" s="387"/>
      <c r="N107" s="388"/>
      <c r="O107" s="386" t="str">
        <f>IF(AL93&gt;4,"Match 5","")</f>
        <v>Match 5</v>
      </c>
      <c r="P107" s="387"/>
      <c r="Q107" s="388"/>
      <c r="R107" s="386" t="str">
        <f>IF(AL93&gt;5,"Match 6","")</f>
        <v>Match 6</v>
      </c>
      <c r="S107" s="387"/>
      <c r="T107" s="388"/>
      <c r="U107" s="386" t="str">
        <f>IF(AL93&gt;6,"Match 7","")</f>
        <v/>
      </c>
      <c r="V107" s="387"/>
      <c r="W107" s="388"/>
      <c r="X107" s="386" t="str">
        <f>IF(AL93&gt;7,"Match 8","")</f>
        <v/>
      </c>
      <c r="Y107" s="387"/>
      <c r="Z107" s="388"/>
      <c r="AA107" s="386" t="str">
        <f>IF(AL93&gt;8,"Match 9","")</f>
        <v/>
      </c>
      <c r="AB107" s="387"/>
      <c r="AC107" s="388"/>
      <c r="AD107" s="386" t="str">
        <f>IF(AL93&gt;9,"Match 10","")</f>
        <v/>
      </c>
      <c r="AE107" s="387"/>
      <c r="AF107" s="388"/>
      <c r="AG107" s="380"/>
      <c r="AH107" s="381"/>
      <c r="AI107" s="381"/>
      <c r="AJ107" s="381"/>
      <c r="AK107" s="381"/>
      <c r="AL107" s="381"/>
      <c r="AM107" s="381"/>
      <c r="AN107" s="381"/>
      <c r="AO107" s="381"/>
      <c r="AP107" s="381"/>
      <c r="AQ107" s="381"/>
      <c r="AR107" s="382"/>
    </row>
    <row r="108" spans="1:44" ht="15.75">
      <c r="A108" s="534"/>
      <c r="B108" s="389" t="s">
        <v>31</v>
      </c>
      <c r="C108" s="390"/>
      <c r="D108" s="391"/>
      <c r="E108" s="389" t="s">
        <v>32</v>
      </c>
      <c r="F108" s="390"/>
      <c r="G108" s="391"/>
      <c r="H108" s="389" t="s">
        <v>33</v>
      </c>
      <c r="I108" s="390"/>
      <c r="J108" s="391"/>
      <c r="K108" s="580"/>
      <c r="L108" s="389" t="s">
        <v>293</v>
      </c>
      <c r="M108" s="390"/>
      <c r="N108" s="391"/>
      <c r="O108" s="389" t="s">
        <v>32</v>
      </c>
      <c r="P108" s="390"/>
      <c r="Q108" s="391"/>
      <c r="R108" s="389" t="s">
        <v>33</v>
      </c>
      <c r="S108" s="390"/>
      <c r="T108" s="391"/>
      <c r="U108" s="389"/>
      <c r="V108" s="390"/>
      <c r="W108" s="391"/>
      <c r="X108" s="389"/>
      <c r="Y108" s="390"/>
      <c r="Z108" s="391"/>
      <c r="AA108" s="389"/>
      <c r="AB108" s="390"/>
      <c r="AC108" s="391"/>
      <c r="AD108" s="389"/>
      <c r="AE108" s="390"/>
      <c r="AF108" s="391"/>
      <c r="AG108" s="581" t="s">
        <v>34</v>
      </c>
      <c r="AH108" s="108">
        <v>1</v>
      </c>
      <c r="AI108" s="108">
        <v>2</v>
      </c>
      <c r="AJ108" s="108">
        <v>3</v>
      </c>
      <c r="AK108" s="108">
        <v>4</v>
      </c>
      <c r="AL108" s="108">
        <v>5</v>
      </c>
      <c r="AM108" s="108">
        <v>6</v>
      </c>
      <c r="AN108" s="108">
        <v>7</v>
      </c>
      <c r="AO108" s="108">
        <v>8</v>
      </c>
      <c r="AP108" s="108">
        <v>9</v>
      </c>
      <c r="AQ108" s="108">
        <v>10</v>
      </c>
      <c r="AR108" s="582" t="s">
        <v>200</v>
      </c>
    </row>
    <row r="109" spans="1:44" ht="15.75">
      <c r="A109" s="534"/>
      <c r="B109" s="109">
        <v>2</v>
      </c>
      <c r="C109" s="110" t="s">
        <v>35</v>
      </c>
      <c r="D109" s="111">
        <v>3</v>
      </c>
      <c r="E109" s="109">
        <v>1</v>
      </c>
      <c r="F109" s="110" t="str">
        <f>IF(AL93&gt;1,"v","")</f>
        <v>v</v>
      </c>
      <c r="G109" s="111">
        <v>4</v>
      </c>
      <c r="H109" s="109">
        <v>2</v>
      </c>
      <c r="I109" s="110" t="str">
        <f>IF(AL93&gt;2,"v","")</f>
        <v>v</v>
      </c>
      <c r="J109" s="111">
        <v>4</v>
      </c>
      <c r="K109" s="580"/>
      <c r="L109" s="109">
        <v>1</v>
      </c>
      <c r="M109" s="110" t="str">
        <f>IF(AL93&gt;3,"v","")</f>
        <v>v</v>
      </c>
      <c r="N109" s="111">
        <v>3</v>
      </c>
      <c r="O109" s="109">
        <v>3</v>
      </c>
      <c r="P109" s="110" t="str">
        <f>IF(AL93&gt;4,"v","")</f>
        <v>v</v>
      </c>
      <c r="Q109" s="111">
        <v>4</v>
      </c>
      <c r="R109" s="109">
        <v>1</v>
      </c>
      <c r="S109" s="110" t="str">
        <f>IF(AL93&gt;5,"v","")</f>
        <v>v</v>
      </c>
      <c r="T109" s="111">
        <v>2</v>
      </c>
      <c r="U109" s="109"/>
      <c r="V109" s="110" t="str">
        <f>IF(AL93&gt;6,"v","")</f>
        <v/>
      </c>
      <c r="W109" s="111"/>
      <c r="X109" s="109"/>
      <c r="Y109" s="110" t="str">
        <f>IF(AL93&gt;7,"v","")</f>
        <v/>
      </c>
      <c r="Z109" s="111"/>
      <c r="AA109" s="109"/>
      <c r="AB109" s="110" t="str">
        <f>IF(AL93&gt;8,"v","")</f>
        <v/>
      </c>
      <c r="AC109" s="111"/>
      <c r="AD109" s="109"/>
      <c r="AE109" s="110" t="str">
        <f>IF(AL93&gt;9,"v","")</f>
        <v/>
      </c>
      <c r="AF109" s="111"/>
      <c r="AG109" s="583" t="str">
        <f>IF(AL94&gt;0,"Team 1","")</f>
        <v>Team 1</v>
      </c>
      <c r="AH109" s="584" t="str">
        <f>IF(AL94&lt;1,"",IF(AL93&lt;1,"",IF(B109=1,B115-D115,IF(D109=1,D115-B115,""))))</f>
        <v/>
      </c>
      <c r="AI109" s="584">
        <f>IF(AL94&lt;1,"",IF(AL93&lt;2,"",IF(E109=1,E115-G115,IF(G109=1,G115-E115,""))))</f>
        <v>27</v>
      </c>
      <c r="AJ109" s="584" t="str">
        <f>IF(AL94&lt;1,"",IF(AL93&lt;3,"",IF(H109=1,H115-J115,IF(J109=1,J115-H115,""))))</f>
        <v/>
      </c>
      <c r="AK109" s="584">
        <f>IF(AL94&lt;1,"",IF(AL93&lt;4,"",IF(L109=1,L115-N115,IF(N109=1,N115-L115,""))))</f>
        <v>17</v>
      </c>
      <c r="AL109" s="584" t="str">
        <f>IF(AL94&lt;1,"",IF(AL93&lt;5,"",IF(O109=1,O115-Q115,IF(Q109=1,Q115-O115,""))))</f>
        <v/>
      </c>
      <c r="AM109" s="584">
        <f>IF(AL94&lt;1,"",IF(AL93&lt;6,"",IF(R109=1,R115-T115,IF(T109=1,T115-R115,""))))</f>
        <v>10</v>
      </c>
      <c r="AN109" s="584" t="str">
        <f>IF(AL94&lt;1,"",IF(AL93&lt;7,"",IF(U109=1,U115-W115,IF(W109=1,W115-U115,""))))</f>
        <v/>
      </c>
      <c r="AO109" s="584" t="str">
        <f>IF(AL94&lt;1,"",IF(AL93&lt;8,"",IF(X109=1,X115-Z115,IF(Z109=1,Z115-X115,""))))</f>
        <v/>
      </c>
      <c r="AP109" s="584" t="str">
        <f>IF(AL94&lt;1,"",IF(AL93&lt;9,"",IF(AA109=1,AA115-AC115,IF(AC109=1,AC115-AA115,""))))</f>
        <v/>
      </c>
      <c r="AQ109" s="584" t="str">
        <f>IF(AL94&lt;1,"",IF(AL93&lt;10,"",IF(AD109=1,AD115-AF115,IF(AF109=1,AF115-AD115,""))))</f>
        <v/>
      </c>
      <c r="AR109" s="582">
        <f>SUM(AH109:AQ109)</f>
        <v>54</v>
      </c>
    </row>
    <row r="110" spans="1:44" ht="15">
      <c r="A110" s="3" t="s">
        <v>36</v>
      </c>
      <c r="B110" s="112">
        <v>20</v>
      </c>
      <c r="C110" s="113" t="s">
        <v>37</v>
      </c>
      <c r="D110" s="114">
        <v>18</v>
      </c>
      <c r="E110" s="112">
        <v>30</v>
      </c>
      <c r="F110" s="113" t="str">
        <f>IF(AL93&gt;1,"/","")</f>
        <v>/</v>
      </c>
      <c r="G110" s="114">
        <v>3</v>
      </c>
      <c r="H110" s="112">
        <v>16</v>
      </c>
      <c r="I110" s="113" t="str">
        <f>IF(AL93&gt;2,"/","")</f>
        <v>/</v>
      </c>
      <c r="J110" s="114">
        <v>20</v>
      </c>
      <c r="K110" s="580"/>
      <c r="L110" s="112">
        <v>27</v>
      </c>
      <c r="M110" s="113" t="str">
        <f>IF(AL93&gt;3,"/","")</f>
        <v>/</v>
      </c>
      <c r="N110" s="114">
        <v>10</v>
      </c>
      <c r="O110" s="112">
        <v>18</v>
      </c>
      <c r="P110" s="113" t="str">
        <f>IF(AL93&gt;4,"/","")</f>
        <v>/</v>
      </c>
      <c r="Q110" s="114">
        <v>22</v>
      </c>
      <c r="R110" s="112">
        <v>20</v>
      </c>
      <c r="S110" s="113" t="str">
        <f>IF(AL93&gt;5,"/","")</f>
        <v>/</v>
      </c>
      <c r="T110" s="114">
        <v>10</v>
      </c>
      <c r="U110" s="112"/>
      <c r="V110" s="113" t="str">
        <f>IF(AL93&gt;6,"/","")</f>
        <v/>
      </c>
      <c r="W110" s="114"/>
      <c r="X110" s="112"/>
      <c r="Y110" s="113" t="str">
        <f>IF(AL93&gt;7,"/","")</f>
        <v/>
      </c>
      <c r="Z110" s="114"/>
      <c r="AA110" s="112"/>
      <c r="AB110" s="113" t="str">
        <f>IF(AL93&gt;8,"/","")</f>
        <v/>
      </c>
      <c r="AC110" s="114"/>
      <c r="AD110" s="112"/>
      <c r="AE110" s="113" t="str">
        <f>IF(AL93&gt;9,"/","")</f>
        <v/>
      </c>
      <c r="AF110" s="114"/>
      <c r="AG110" s="583" t="str">
        <f>IF(AL94&gt;1,"Team 2","")</f>
        <v>Team 2</v>
      </c>
      <c r="AH110" s="584">
        <f>IF(AL94&lt;2,"",IF(AL93&lt;1,"",IF(B109=2,B115-D115,IF(D109=2,D115-B115,""))))</f>
        <v>2</v>
      </c>
      <c r="AI110" s="584" t="str">
        <f>IF(AL94&lt;2,"",IF(AL93&lt;2,"",IF(E109=2,E115-G115,IF(G109=2,G115-E115,""))))</f>
        <v/>
      </c>
      <c r="AJ110" s="584">
        <f>IF(AL94&lt;2,"",IF(AL93&lt;3,"",IF(H109=2,H115-J115,IF(J109=2,J115-H115,""))))</f>
        <v>-4</v>
      </c>
      <c r="AK110" s="584" t="str">
        <f>IF(AL94&lt;2,"",IF(AL93&lt;4,"",IF(L109=2,L115-N115,IF(N109=2,N115-L115,""))))</f>
        <v/>
      </c>
      <c r="AL110" s="584" t="str">
        <f>IF(AL94&lt;2,"",IF(AL93&lt;5,"",IF(O109=2,O115-Q115,IF(Q109=2,Q115-O115,""))))</f>
        <v/>
      </c>
      <c r="AM110" s="584">
        <f>IF(AL94&lt;2,"",IF(AL93&lt;6,"",IF(R109=2,R115-T115,IF(T109=2,T115-R115,""))))</f>
        <v>-10</v>
      </c>
      <c r="AN110" s="584" t="str">
        <f>IF(AL94&lt;2,"",IF(AL93&lt;7,"",IF(U109=2,U115-W115,IF(W109=2,W115-U115,""))))</f>
        <v/>
      </c>
      <c r="AO110" s="584" t="str">
        <f>IF(AL94&lt;2,"",IF(AL93&lt;8,"",IF(X109=2,X115-Z115,IF(Z109=2,Z115-X115,""))))</f>
        <v/>
      </c>
      <c r="AP110" s="584" t="str">
        <f>IF(AL94&lt;2,"",IF(AL93&lt;9,"",IF(AA109=2,AA115-AC115,IF(AC109=2,AC115-AA115,""))))</f>
        <v/>
      </c>
      <c r="AQ110" s="584" t="str">
        <f>IF(AL94&lt;2,"",IF(AL93&lt;10,"",IF(AD109=2,AD115-AF115,IF(AF109=2,AF115-AD115,""))))</f>
        <v/>
      </c>
      <c r="AR110" s="582">
        <f>SUM(AH110:AQ110)</f>
        <v>-12</v>
      </c>
    </row>
    <row r="111" spans="1:44" ht="15">
      <c r="A111" s="46" t="str">
        <f>IF(AL92&gt;1,"Game 2","")</f>
        <v/>
      </c>
      <c r="B111" s="112"/>
      <c r="C111" s="113" t="s">
        <v>37</v>
      </c>
      <c r="D111" s="114"/>
      <c r="E111" s="112"/>
      <c r="F111" s="113" t="str">
        <f>IF(AL93&gt;1,IF(AL92&gt;1,"/",""),"")</f>
        <v/>
      </c>
      <c r="G111" s="114"/>
      <c r="H111" s="112"/>
      <c r="I111" s="113" t="str">
        <f>IF(AL93&gt;2,IF(AL92&gt;1,"/",""),"")</f>
        <v/>
      </c>
      <c r="J111" s="114"/>
      <c r="K111" s="580"/>
      <c r="L111" s="112"/>
      <c r="M111" s="113" t="str">
        <f>IF(AL93&gt;3,IF(AL92&gt;1,"/",""),"")</f>
        <v/>
      </c>
      <c r="N111" s="114"/>
      <c r="O111" s="112"/>
      <c r="P111" s="113" t="str">
        <f>IF(AL93&gt;4,IF(AL92&gt;1,"/",""),"")</f>
        <v/>
      </c>
      <c r="Q111" s="114"/>
      <c r="R111" s="112"/>
      <c r="S111" s="113" t="str">
        <f>IF(AL93&gt;5,IF(AL92&gt;1,"/",""),"")</f>
        <v/>
      </c>
      <c r="T111" s="114"/>
      <c r="U111" s="112"/>
      <c r="V111" s="113" t="str">
        <f>IF(AL93&gt;6,IF(AL92&gt;1,"/",""),"")</f>
        <v/>
      </c>
      <c r="W111" s="114"/>
      <c r="X111" s="112"/>
      <c r="Y111" s="113" t="str">
        <f>IF(AL93&gt;7,IF(AL92&gt;1,"/",""),"")</f>
        <v/>
      </c>
      <c r="Z111" s="114"/>
      <c r="AA111" s="112"/>
      <c r="AB111" s="113" t="str">
        <f>IF(AL93&gt;8,IF(AL92&gt;1,"/",""),"")</f>
        <v/>
      </c>
      <c r="AC111" s="114"/>
      <c r="AD111" s="112"/>
      <c r="AE111" s="113" t="str">
        <f>IF(AL93&gt;9,IF(AL92&gt;1,"/",""),"")</f>
        <v/>
      </c>
      <c r="AF111" s="114"/>
      <c r="AG111" s="583" t="str">
        <f>IF(AL94&gt;2,"Team 3","")</f>
        <v>Team 3</v>
      </c>
      <c r="AH111" s="584">
        <f>IF(AL94&lt;3,"",IF(AL93&lt;1,"",IF(B109=3,B115-D115,IF(D109=3,D115-B115,""))))</f>
        <v>-2</v>
      </c>
      <c r="AI111" s="584" t="str">
        <f>IF(AL94&lt;3,"",IF(AL93&lt;2,"",IF(E109=3,E115-G115,IF(G109=3,G115-E115,""))))</f>
        <v/>
      </c>
      <c r="AJ111" s="584" t="str">
        <f>IF(AL94&lt;3,"",IF(AL93&lt;3,"",IF(H109=3,H115-J115,IF(J109=3,J115-H115,""))))</f>
        <v/>
      </c>
      <c r="AK111" s="584">
        <f>IF(AL94&lt;3,"",IF(AL93&lt;4,"",IF(L109=3,L115-N115,IF(N109=3,N115-L115,""))))</f>
        <v>-17</v>
      </c>
      <c r="AL111" s="584">
        <f>IF(AL94&lt;3,"",IF(AL93&lt;5,"",IF(O109=3,O115-Q115,IF(Q109=3,Q115-O115,""))))</f>
        <v>-4</v>
      </c>
      <c r="AM111" s="584" t="str">
        <f>IF(AL94&lt;3,"",IF(AL93&lt;6,"",IF(R109=3,R115-T115,IF(T109=3,T115-R115,""))))</f>
        <v/>
      </c>
      <c r="AN111" s="584" t="str">
        <f>IF(AL94&lt;3,"",IF(AL93&lt;7,"",IF(U109=3,U115-W115,IF(W109=3,W115-U115,""))))</f>
        <v/>
      </c>
      <c r="AO111" s="584" t="str">
        <f>IF(AL94&lt;3,"",IF(AL93&lt;8,"",IF(X109=3,X115-Z115,IF(Z109=3,Z115-X115,""))))</f>
        <v/>
      </c>
      <c r="AP111" s="584" t="str">
        <f>IF(AL94&lt;3,"",IF(AL93&lt;9,"",IF(AA109=3,AA115-AC115,IF(AC109=3,AC115-AA115,""))))</f>
        <v/>
      </c>
      <c r="AQ111" s="584" t="str">
        <f>IF(AL94&lt;3,"",IF(AL93&lt;9,"",IF(AD109=3,AD115-AF115,IF(AF109=3,AF115-AD115,""))))</f>
        <v/>
      </c>
      <c r="AR111" s="582">
        <f>SUM(AH111:AQ111)</f>
        <v>-23</v>
      </c>
    </row>
    <row r="112" spans="1:44" ht="15">
      <c r="A112" s="46" t="str">
        <f>IF(AL92&gt;2,"Game 3","")</f>
        <v/>
      </c>
      <c r="B112" s="112"/>
      <c r="C112" s="113" t="s">
        <v>37</v>
      </c>
      <c r="D112" s="114"/>
      <c r="E112" s="112"/>
      <c r="F112" s="113" t="str">
        <f>IF(AL93&gt;1,IF(AL92&gt;2,"/",""),"")</f>
        <v/>
      </c>
      <c r="G112" s="114"/>
      <c r="H112" s="112"/>
      <c r="I112" s="113" t="str">
        <f>IF(AL93&gt;2,IF(AL92&gt;2,"/",""),"")</f>
        <v/>
      </c>
      <c r="J112" s="114"/>
      <c r="K112" s="580"/>
      <c r="L112" s="112"/>
      <c r="M112" s="113" t="str">
        <f>IF(AL93&gt;3,IF(AL92&gt;2,"/",""),"")</f>
        <v/>
      </c>
      <c r="N112" s="114"/>
      <c r="O112" s="112"/>
      <c r="P112" s="113" t="str">
        <f>IF(AL93&gt;4,IF(AL92&gt;2,"/",""),"")</f>
        <v/>
      </c>
      <c r="Q112" s="114"/>
      <c r="R112" s="112"/>
      <c r="S112" s="113" t="str">
        <f>IF(AL93&gt;5,IF(AL92&gt;2,"/",""),"")</f>
        <v/>
      </c>
      <c r="T112" s="114"/>
      <c r="U112" s="112"/>
      <c r="V112" s="113" t="str">
        <f>IF(AL93&gt;6,IF(AL92&gt;2,"/",""),"")</f>
        <v/>
      </c>
      <c r="W112" s="114"/>
      <c r="X112" s="112"/>
      <c r="Y112" s="113" t="str">
        <f>IF(AL93&gt;7,IF(AL92&gt;2,"/",""),"")</f>
        <v/>
      </c>
      <c r="Z112" s="114"/>
      <c r="AA112" s="112"/>
      <c r="AB112" s="113" t="str">
        <f>IF(AL93&gt;8,IF(AL92&gt;2,"/",""),"")</f>
        <v/>
      </c>
      <c r="AC112" s="114"/>
      <c r="AD112" s="112"/>
      <c r="AE112" s="113" t="str">
        <f>IF(AL93&gt;9,IF(AL92&gt;2,"/",""),"")</f>
        <v/>
      </c>
      <c r="AF112" s="114"/>
      <c r="AG112" s="583" t="str">
        <f>IF(AL94&gt;3,"Team 4","")</f>
        <v>Team 4</v>
      </c>
      <c r="AH112" s="584" t="str">
        <f>IF(AL94&lt;4,"",IF(AL93&lt;1,"",IF(B109=4,B115-D115,IF(D109=4,D115-B115,""))))</f>
        <v/>
      </c>
      <c r="AI112" s="584">
        <f>IF(AL94&lt;4,"",IF(AL93&lt;2,"",IF(E109=4,E115-G115,IF(G109=4,G115-E115,""))))</f>
        <v>-27</v>
      </c>
      <c r="AJ112" s="584">
        <f>IF(AL94&lt;4,"",IF(AL93&lt;3,"",IF(H109=4,H115-J115,IF(J109=4,J115-H115,""))))</f>
        <v>4</v>
      </c>
      <c r="AK112" s="584" t="str">
        <f>IF(AL94&lt;4,"",IF(AL93&lt;4,"",IF(L109=4,L115-N115,IF(N109=4,N115-L115,""))))</f>
        <v/>
      </c>
      <c r="AL112" s="584">
        <f>IF(AL94&lt;4,"",IF(AL93&lt;5,"",IF(O109=4,O115-Q115,IF(Q109=4,Q115-O115,""))))</f>
        <v>4</v>
      </c>
      <c r="AM112" s="584" t="str">
        <f>IF(AL94&lt;4,"",IF(AL93&lt;6,"",IF(R109=4,R115-T115,IF(T109=4,T115-R115,""))))</f>
        <v/>
      </c>
      <c r="AN112" s="584" t="str">
        <f>IF(AL94&lt;4,"",IF(AL93&lt;7,"",IF(U109=4,U115-W115,IF(W109=4,W115-U115,""))))</f>
        <v/>
      </c>
      <c r="AO112" s="584" t="str">
        <f>IF(AL94&lt;4,"",IF(AL93&lt;8,"",IF(X109=4,X115-Z115,IF(Z109=4,Z115-X115,""))))</f>
        <v/>
      </c>
      <c r="AP112" s="584" t="str">
        <f>IF(AL94&lt;4,"",IF(AL93&lt;9,"",IF(AA109=4,AA115-AC115,IF(AC109=4,AC115-AA115,""))))</f>
        <v/>
      </c>
      <c r="AQ112" s="584" t="str">
        <f>IF(AL94&lt;4,"",IF(AL93&lt;10,"",IF(AD109=4,AD115-AF115,IF(AF109=4,AF115-AD115,""))))</f>
        <v/>
      </c>
      <c r="AR112" s="582">
        <f>SUM(AH112:AQ112)</f>
        <v>-19</v>
      </c>
    </row>
    <row r="113" spans="1:49" ht="15">
      <c r="A113" s="46" t="str">
        <f>IF(AL92&gt;3,"Game 4","")</f>
        <v/>
      </c>
      <c r="B113" s="112"/>
      <c r="C113" s="113" t="s">
        <v>37</v>
      </c>
      <c r="D113" s="114"/>
      <c r="E113" s="112"/>
      <c r="F113" s="113" t="str">
        <f>IF(AL93&gt;1,IF(AL92&gt;3,"/",""),"")</f>
        <v/>
      </c>
      <c r="G113" s="114"/>
      <c r="H113" s="112"/>
      <c r="I113" s="113" t="str">
        <f>IF(AL93&gt;2,IF(AL92&gt;3,"/",""),"")</f>
        <v/>
      </c>
      <c r="J113" s="114"/>
      <c r="K113" s="580"/>
      <c r="L113" s="112"/>
      <c r="M113" s="113" t="str">
        <f>IF(AL93&gt;3,IF(AL92&gt;3,"/",""),"")</f>
        <v/>
      </c>
      <c r="N113" s="114"/>
      <c r="O113" s="112"/>
      <c r="P113" s="113" t="str">
        <f>IF(AL93&gt;4,IF(AL92&gt;3,"/",""),"")</f>
        <v/>
      </c>
      <c r="Q113" s="114"/>
      <c r="R113" s="112"/>
      <c r="S113" s="113" t="str">
        <f>IF(AL93&gt;5,IF(AL92&gt;3,"/",""),"")</f>
        <v/>
      </c>
      <c r="T113" s="114"/>
      <c r="U113" s="112"/>
      <c r="V113" s="113" t="str">
        <f>IF(AL93&gt;6,IF(AL92&gt;3,"/",""),"")</f>
        <v/>
      </c>
      <c r="W113" s="114"/>
      <c r="X113" s="112"/>
      <c r="Y113" s="113" t="str">
        <f>IF(AL93&gt;7,IF(AL92&gt;3,"/",""),"")</f>
        <v/>
      </c>
      <c r="Z113" s="114"/>
      <c r="AA113" s="112"/>
      <c r="AB113" s="113" t="str">
        <f>IF(AL93&gt;8,IF(AL92&gt;3,"/",""),"")</f>
        <v/>
      </c>
      <c r="AC113" s="114"/>
      <c r="AD113" s="112"/>
      <c r="AE113" s="113" t="str">
        <f>IF(AL93&gt;9,IF(AL92&gt;3,"/",""),"")</f>
        <v/>
      </c>
      <c r="AF113" s="114"/>
      <c r="AG113" s="583" t="str">
        <f>IF(AL94&gt;4,"Team 5","")</f>
        <v/>
      </c>
      <c r="AH113" s="585" t="str">
        <f>IF(AL94&lt;5,"",IF(AL93&lt;1,"",IF(B109=5,B115-D115,IF(D109=5,D115-B115,""))))</f>
        <v/>
      </c>
      <c r="AI113" s="584" t="str">
        <f>IF(AL94&lt;5,"",IF(AL93&lt;2,"",IF(E109=5,E115-G115,IF(G109=5,G115-E115,""))))</f>
        <v/>
      </c>
      <c r="AJ113" s="584" t="str">
        <f>IF(AL94&lt;5,"",IF(AL93&lt;3,"",IF(H109=5,H115-J115,IF(J109=5,J115-H115,""))))</f>
        <v/>
      </c>
      <c r="AK113" s="584" t="str">
        <f>IF(AL94&lt;5,"",IF(AL93&lt;4,"",IF(L109=5,L115-N115,IF(N109=5,N115-L115,""))))</f>
        <v/>
      </c>
      <c r="AL113" s="584" t="str">
        <f>IF(AL94&lt;5,"",IF(AL93&lt;5,"",IF(O109=5,O115-Q115,IF(Q109=5,Q115-O115,""))))</f>
        <v/>
      </c>
      <c r="AM113" s="584" t="str">
        <f>IF(AL94&lt;5,"",IF(AL93&lt;6,"",IF(R109=5,R115-T115,IF(T109=5,T115-R115,""))))</f>
        <v/>
      </c>
      <c r="AN113" s="584" t="str">
        <f>IF(AL94&lt;5,"",IF(AL93&lt;7,"",IF(U109=5,U115-W115,IF(W109=5,W115-U115,""))))</f>
        <v/>
      </c>
      <c r="AO113" s="584" t="str">
        <f>IF(AL94&lt;5,"",IF(AL93&lt;8,"",IF(X109=5,X115-Z115,IF(Z109=5,Z115-X115,""))))</f>
        <v/>
      </c>
      <c r="AP113" s="584" t="str">
        <f>IF(AL94&lt;5,"",IF(AL93&lt;9,"",IF(AA109=5,AA115-AC115,IF(AC109=5,AC115-AA115,""))))</f>
        <v/>
      </c>
      <c r="AQ113" s="584" t="str">
        <f>IF(AL94&lt;5,"",IF(AL93&lt;10,"",IF(AD109=5,AD115-AF115,IF(AF109=5,AF115-AD115,""))))</f>
        <v/>
      </c>
      <c r="AR113" s="582">
        <f>SUM(AH113:AQ113)</f>
        <v>0</v>
      </c>
    </row>
    <row r="114" spans="1:49" ht="15">
      <c r="A114" s="46" t="str">
        <f>IF(AL92&gt;4,"Game 5","")</f>
        <v/>
      </c>
      <c r="B114" s="112"/>
      <c r="C114" s="113" t="s">
        <v>37</v>
      </c>
      <c r="D114" s="114"/>
      <c r="E114" s="112"/>
      <c r="F114" s="113" t="str">
        <f>IF(AL93&gt;1,IF(AL92&gt;4,"/",""),"")</f>
        <v/>
      </c>
      <c r="G114" s="114"/>
      <c r="H114" s="112"/>
      <c r="I114" s="113" t="str">
        <f>IF(AL93&gt;2,IF(AL92&gt;4,"/",""),"")</f>
        <v/>
      </c>
      <c r="J114" s="114"/>
      <c r="K114" s="586"/>
      <c r="L114" s="112"/>
      <c r="M114" s="113" t="str">
        <f>IF(AL93&gt;3,IF(AL92&gt;4,"/",""),"")</f>
        <v/>
      </c>
      <c r="N114" s="114"/>
      <c r="O114" s="112"/>
      <c r="P114" s="113" t="str">
        <f>IF(AL93&gt;4,IF(AL92&gt;4,"/",""),"")</f>
        <v/>
      </c>
      <c r="Q114" s="114"/>
      <c r="R114" s="112"/>
      <c r="S114" s="113" t="str">
        <f>IF(AL93&gt;5,IF(AL92&gt;4,"/",""),"")</f>
        <v/>
      </c>
      <c r="T114" s="114"/>
      <c r="U114" s="112"/>
      <c r="V114" s="113" t="str">
        <f>IF(AL93&gt;6,IF(AL92&gt;4,"/",""),"")</f>
        <v/>
      </c>
      <c r="W114" s="114"/>
      <c r="X114" s="112"/>
      <c r="Y114" s="113" t="str">
        <f>IF(AL93&gt;7,IF(AL92&gt;4,"/",""),"")</f>
        <v/>
      </c>
      <c r="Z114" s="114"/>
      <c r="AA114" s="112"/>
      <c r="AB114" s="113" t="str">
        <f>IF(AL93&gt;8,IF(AL92&gt;4,"/",""),"")</f>
        <v/>
      </c>
      <c r="AC114" s="114"/>
      <c r="AD114" s="112"/>
      <c r="AE114" s="113" t="str">
        <f>IF(AL93&gt;9,IF(AL92&gt;4,"/",""),"")</f>
        <v/>
      </c>
      <c r="AF114" s="114"/>
      <c r="AG114" s="534"/>
      <c r="AH114" s="534"/>
      <c r="AI114" s="534"/>
      <c r="AJ114" s="534"/>
      <c r="AK114" s="534"/>
      <c r="AL114" s="534"/>
      <c r="AM114" s="534"/>
      <c r="AN114" s="534"/>
      <c r="AO114" s="534"/>
      <c r="AP114" s="534"/>
      <c r="AQ114" s="534"/>
      <c r="AR114" s="534"/>
    </row>
    <row r="115" spans="1:49" hidden="1">
      <c r="A115" s="116"/>
      <c r="B115" s="116">
        <f>IF($AL92=5,SUM(B110:B114),IF($AL92=4,SUM(B110:B113),IF($AL92=3,SUM(B110:B112),IF($AL92=2,SUM(B110:B111),B110))))</f>
        <v>20</v>
      </c>
      <c r="C115" s="116"/>
      <c r="D115" s="116">
        <f>IF($AL92=5,SUM(D110:D114),IF($AL92=4,SUM(D110:D113),IF($AL92=3,SUM(D110:D112),IF($AL92=2,SUM(D110:D111),D110))))</f>
        <v>18</v>
      </c>
      <c r="E115" s="116">
        <f>IF($AL92=5,SUM(E110:E114),IF($AL92=4,SUM(E110:E113),IF($AL92=3,SUM(E110:E112),IF($AL92=2,SUM(E110:E111),E110))))</f>
        <v>30</v>
      </c>
      <c r="F115" s="116"/>
      <c r="G115" s="116">
        <f>IF($AL92=5,SUM(G110:G114),IF($AL92=4,SUM(G110:G113),IF($AL92=3,SUM(G110:G112),IF($AL92=2,SUM(G110:G111),G110))))</f>
        <v>3</v>
      </c>
      <c r="H115" s="116">
        <f>IF($AL92=5,SUM(H110:H114),IF($AL92=4,SUM(H110:H113),IF($AL92=3,SUM(H110:H112),IF($AL92=2,SUM(H110:H111),H110))))</f>
        <v>16</v>
      </c>
      <c r="I115" s="116"/>
      <c r="J115" s="116">
        <f>IF($AL92=5,SUM(J110:J114),IF($AL92=4,SUM(J110:J113),IF($AL92=3,SUM(J110:J112),IF($AL92=2,SUM(J110:J111),J110))))</f>
        <v>20</v>
      </c>
      <c r="K115" s="116"/>
      <c r="L115" s="116">
        <f>IF($AL92=5,SUM(L110:L114),IF($AL92=4,SUM(L110:L113),IF($AL92=3,SUM(L110:L112),IF($AL92=2,SUM(L110:L111),L110))))</f>
        <v>27</v>
      </c>
      <c r="M115" s="116"/>
      <c r="N115" s="116">
        <f>IF($AL92=5,SUM(N110:N114),IF($AL92=4,SUM(N110:N113),IF($AL92=3,SUM(N110:N112),IF($AL92=2,SUM(N110:N111),N110))))</f>
        <v>10</v>
      </c>
      <c r="O115" s="116">
        <f>IF($AL92=5,SUM(O110:O114),IF($AL92=4,SUM(O110:O113),IF($AL92=3,SUM(O110:O112),IF($AL92=2,SUM(O110:O111),O110))))</f>
        <v>18</v>
      </c>
      <c r="P115" s="116"/>
      <c r="Q115" s="116">
        <f>IF($AL92=5,SUM(Q110:Q114),IF($AL92=4,SUM(Q110:Q113),IF($AL92=3,SUM(Q110:Q112),IF($AL92=2,SUM(Q110:Q111),Q110))))</f>
        <v>22</v>
      </c>
      <c r="R115" s="116">
        <f>IF($AL92=5,SUM(R110:R114),IF($AL92=4,SUM(R110:R113),IF($AL92=3,SUM(R110:R112),IF($AL92=2,SUM(R110:R111),R110))))</f>
        <v>20</v>
      </c>
      <c r="S115" s="116"/>
      <c r="T115" s="116">
        <f>IF($AL92=5,SUM(T110:T114),IF($AL92=4,SUM(T110:T113),IF($AL92=3,SUM(T110:T112),IF($AL92=2,SUM(T110:T111),T110))))</f>
        <v>10</v>
      </c>
      <c r="U115" s="116">
        <f>IF($AL92=5,SUM(U110:U114),IF($AL92=4,SUM(U110:U113),IF($AL92=3,SUM(U110:U112),IF($AL92=2,SUM(U110:U111),U110))))</f>
        <v>0</v>
      </c>
      <c r="V115" s="116"/>
      <c r="W115" s="116">
        <f>IF($AL92=5,SUM(W110:W114),IF($AL92=4,SUM(W110:W113),IF($AL92=3,SUM(W110:W112),IF($AL92=2,SUM(W110:W111),W110))))</f>
        <v>0</v>
      </c>
      <c r="X115" s="116">
        <f>IF($AL92=5,SUM(X110:X114),IF($AL92=4,SUM(X110:X113),IF($AL92=3,SUM(X110:X112),IF($AL92=2,SUM(X110:X111),X110))))</f>
        <v>0</v>
      </c>
      <c r="Y115" s="116"/>
      <c r="Z115" s="116">
        <f>IF($AL92=5,SUM(Z110:Z114),IF($AL92=4,SUM(Z110:Z113),IF($AL92=3,SUM(Z110:Z112),IF($AL92=2,SUM(Z110:Z111),Z110))))</f>
        <v>0</v>
      </c>
      <c r="AA115" s="116">
        <f>IF($AL92=5,SUM(AA110:AA114),IF($AL92=4,SUM(AA110:AA113),IF($AL92=3,SUM(AA110:AA112),IF($AL92=2,SUM(AA110:AA111),AA110))))</f>
        <v>0</v>
      </c>
      <c r="AB115" s="116"/>
      <c r="AC115" s="116">
        <f>IF($AL92=5,SUM(AC110:AC114),IF($AL92=4,SUM(AC110:AC113),IF($AL92=3,SUM(AC110:AC112),IF($AL92=2,SUM(AC110:AC111),AC110))))</f>
        <v>0</v>
      </c>
      <c r="AD115" s="116">
        <f>IF($AL92=5,SUM(AD110:AD114),IF($AL92=4,SUM(AD110:AD113),IF($AL92=3,SUM(AD110:AD112),IF($AL92=2,SUM(AD110:AD111),AD110))))</f>
        <v>0</v>
      </c>
      <c r="AE115" s="116"/>
      <c r="AF115" s="116">
        <f>IF($AL92=5,SUM(AF110:AF114),IF($AL92=4,SUM(AF110:AF113),IF($AL92=3,SUM(AF110:AF112),IF($AL92=2,SUM(AF110:AF111),AF110))))</f>
        <v>0</v>
      </c>
      <c r="AG115" s="534"/>
      <c r="AH115" s="534"/>
      <c r="AI115" s="534"/>
      <c r="AJ115" s="534"/>
      <c r="AK115" s="534"/>
      <c r="AL115" s="534"/>
      <c r="AM115" s="534"/>
      <c r="AN115" s="534"/>
      <c r="AO115" s="534"/>
      <c r="AP115" s="534"/>
      <c r="AQ115" s="534"/>
      <c r="AR115" s="534"/>
    </row>
    <row r="116" spans="1:49" s="115" customFormat="1" ht="12.75" hidden="1" customHeight="1">
      <c r="A116" s="115" t="s">
        <v>201</v>
      </c>
      <c r="B116" s="164">
        <f>IF(AND(B110&gt;D110,$AL93&gt;0,ISNUMBER(B110),ISNUMBER(D110)),1,0)</f>
        <v>1</v>
      </c>
      <c r="C116" s="164"/>
      <c r="D116" s="165">
        <f>IF(AND(D110&gt;B110,$AL93&gt;0,ISNUMBER(B110),ISNUMBER(D110)),1,0)</f>
        <v>0</v>
      </c>
      <c r="E116" s="164">
        <f>IF(AND(E110&gt;G110,$AL93&gt;1,ISNUMBER(E110),ISNUMBER(G110)),1,0)</f>
        <v>1</v>
      </c>
      <c r="F116" s="164"/>
      <c r="G116" s="165">
        <f>IF(AND(G110&gt;E110,$AL93&gt;1,ISNUMBER(E110),ISNUMBER(G110)),1,0)</f>
        <v>0</v>
      </c>
      <c r="H116" s="164">
        <f>IF(AND(H110&gt;J110,$AL93&gt;2,ISNUMBER(H110),ISNUMBER(J110)),1,0)</f>
        <v>0</v>
      </c>
      <c r="I116" s="164"/>
      <c r="J116" s="165">
        <f>IF(AND(J110&gt;H110,$AL93&gt;2,ISNUMBER(H110),ISNUMBER(J110)),1,0)</f>
        <v>1</v>
      </c>
      <c r="K116" s="168"/>
      <c r="L116" s="164">
        <f>IF(AND(L110&gt;N110,$AL93&gt;3,ISNUMBER(L110),ISNUMBER(N110)),1,0)</f>
        <v>1</v>
      </c>
      <c r="M116" s="164"/>
      <c r="N116" s="165">
        <f>IF(AND(N110&gt;L110,$AL93&gt;3,ISNUMBER(L110),ISNUMBER(N110)),1,0)</f>
        <v>0</v>
      </c>
      <c r="O116" s="164">
        <f>IF(AND(O110&gt;Q110,$AL93&gt;4,ISNUMBER(O110),ISNUMBER(Q110)),1,0)</f>
        <v>0</v>
      </c>
      <c r="P116" s="164"/>
      <c r="Q116" s="165">
        <f>IF(AND(Q110&gt;O110,$AL93&gt;4,ISNUMBER(O110),ISNUMBER(Q110)),1,0)</f>
        <v>1</v>
      </c>
      <c r="R116" s="164">
        <f>IF(AND(R110&gt;T110,$AL93&gt;5,ISNUMBER(R110),ISNUMBER(T110)),1,0)</f>
        <v>1</v>
      </c>
      <c r="S116" s="164"/>
      <c r="T116" s="165">
        <f>IF(AND(T110&gt;R110,$AL93&gt;5,ISNUMBER(R110),ISNUMBER(T110)),1,0)</f>
        <v>0</v>
      </c>
      <c r="U116" s="164">
        <f>IF(AND(U110&gt;W110,$AL93&gt;6,ISNUMBER(U110),ISNUMBER(W110)),1,0)</f>
        <v>0</v>
      </c>
      <c r="V116" s="164"/>
      <c r="W116" s="165">
        <f>IF(AND(W110&gt;U110,$AL93&gt;6,ISNUMBER(U110),ISNUMBER(W110)),1,0)</f>
        <v>0</v>
      </c>
      <c r="X116" s="164">
        <f>IF(AND(X110&gt;Z110,$AL93&gt;7,ISNUMBER(X110),ISNUMBER(Z110)),1,0)</f>
        <v>0</v>
      </c>
      <c r="Y116" s="164"/>
      <c r="Z116" s="165">
        <f>IF(AND(Z110&gt;X110,$AL93&gt;7,ISNUMBER(X110),ISNUMBER(Z110)),1,0)</f>
        <v>0</v>
      </c>
      <c r="AA116" s="164">
        <f>IF(AND(AA110&gt;AC110,$AL93&gt;8,ISNUMBER(AA110),ISNUMBER(AC110)),1,0)</f>
        <v>0</v>
      </c>
      <c r="AB116" s="164"/>
      <c r="AC116" s="165">
        <f>IF(AND(AC110&gt;AA110,$AL93&gt;8,ISNUMBER(AA110),ISNUMBER(AC110)),1,0)</f>
        <v>0</v>
      </c>
      <c r="AD116" s="164">
        <f>IF(AND(AD110&gt;AF110,$AL93&gt;9,ISNUMBER(AD110),ISNUMBER(AF110)),1,0)</f>
        <v>0</v>
      </c>
      <c r="AE116" s="164"/>
      <c r="AF116" s="165">
        <f>IF(AND(AF110&gt;AD110,$AL93&gt;9,ISNUMBER(AD110),ISNUMBER(AF110)),1,0)</f>
        <v>0</v>
      </c>
      <c r="AW116" s="166"/>
    </row>
    <row r="117" spans="1:49" s="115" customFormat="1" ht="12.75" hidden="1" customHeight="1">
      <c r="A117" s="115" t="s">
        <v>202</v>
      </c>
      <c r="B117" s="164">
        <f>IF(AND(B111&gt;D111,$AL93&gt;0,$AL92&gt;1,ISNUMBER(B111),ISNUMBER(D111)),1,0)</f>
        <v>0</v>
      </c>
      <c r="C117" s="164"/>
      <c r="D117" s="165">
        <f>IF(AND(D111&gt;B111,$AL93&gt;0,$AL92&gt;1,ISNUMBER(B111),ISNUMBER(D111)),1,0)</f>
        <v>0</v>
      </c>
      <c r="E117" s="164">
        <f>IF(AND(E111&gt;G111,$AL93&gt;1,$AL92&gt;1,ISNUMBER(E111),ISNUMBER(G111)),1,0)</f>
        <v>0</v>
      </c>
      <c r="F117" s="164"/>
      <c r="G117" s="165">
        <f>IF(AND(G111&gt;E111,$AL93&gt;1,$AL92&gt;1,ISNUMBER(E111),ISNUMBER(G111)),1,0)</f>
        <v>0</v>
      </c>
      <c r="H117" s="164">
        <f>IF(AND(H111&gt;J111,$AL93&gt;2,$AL92&gt;1,ISNUMBER(H111),ISNUMBER(J111)),1,0)</f>
        <v>0</v>
      </c>
      <c r="I117" s="164"/>
      <c r="J117" s="165">
        <f>IF(AND(J111&gt;H111,$AL93&gt;2,$AL92&gt;1,ISNUMBER(H111),ISNUMBER(J111)),1,0)</f>
        <v>0</v>
      </c>
      <c r="K117" s="168"/>
      <c r="L117" s="164">
        <f>IF(AND(L111&gt;N111,$AL93&gt;3,$AL92&gt;1,ISNUMBER(L111),ISNUMBER(N111)),1,0)</f>
        <v>0</v>
      </c>
      <c r="M117" s="164"/>
      <c r="N117" s="165">
        <f>IF(AND(N111&gt;L111,$AL93&gt;3,$AL92&gt;1,ISNUMBER(L111),ISNUMBER(N111)),1,0)</f>
        <v>0</v>
      </c>
      <c r="O117" s="164">
        <f>IF(AND(O111&gt;Q111,$AL93&gt;4,$AL92&gt;1,ISNUMBER(O111),ISNUMBER(Q111)),1,0)</f>
        <v>0</v>
      </c>
      <c r="P117" s="164"/>
      <c r="Q117" s="165">
        <f>IF(AND(Q111&gt;O111,$AL93&gt;4,$AL92&gt;1,ISNUMBER(O111),ISNUMBER(Q111)),1,0)</f>
        <v>0</v>
      </c>
      <c r="R117" s="164">
        <f>IF(AND(R111&gt;T111,$AL93&gt;5,$AL92&gt;1,ISNUMBER(R111),ISNUMBER(T111)),1,0)</f>
        <v>0</v>
      </c>
      <c r="S117" s="164"/>
      <c r="T117" s="165">
        <f>IF(AND(T111&gt;R111,$AL93&gt;5,$AL92&gt;1,ISNUMBER(R111),ISNUMBER(T111)),1,0)</f>
        <v>0</v>
      </c>
      <c r="U117" s="164">
        <f>IF(AND(U111&gt;W111,$AL93&gt;6,$AL92&gt;1,ISNUMBER(U111),ISNUMBER(W111)),1,0)</f>
        <v>0</v>
      </c>
      <c r="V117" s="164"/>
      <c r="W117" s="165">
        <f>IF(AND(W111&gt;U111,$AL93&gt;6,$AL92&gt;1,ISNUMBER(U111),ISNUMBER(W111)),1,0)</f>
        <v>0</v>
      </c>
      <c r="X117" s="164">
        <f>IF(AND(X111&gt;Z111,$AL93&gt;7,$AL92&gt;1,ISNUMBER(X111),ISNUMBER(Z111)),1,0)</f>
        <v>0</v>
      </c>
      <c r="Y117" s="164"/>
      <c r="Z117" s="165">
        <f>IF(AND(Z111&gt;X111,$AL93&gt;7,$AL92&gt;1,ISNUMBER(X111),ISNUMBER(Z111)),1,0)</f>
        <v>0</v>
      </c>
      <c r="AA117" s="164">
        <f>IF(AND(AA111&gt;AC111,$AL93&gt;8,$AL92&gt;1,ISNUMBER(AA111),ISNUMBER(AC111)),1,0)</f>
        <v>0</v>
      </c>
      <c r="AB117" s="164"/>
      <c r="AC117" s="165">
        <f>IF(AND(AC111&gt;AA111,$AL93&gt;8,$AL92&gt;1,ISNUMBER(AA111),ISNUMBER(AC111)),1,0)</f>
        <v>0</v>
      </c>
      <c r="AD117" s="164">
        <f>IF(AND(AD111&gt;AF111,$AL93&gt;9,$AL92&gt;1,ISNUMBER(AD111),ISNUMBER(AF111)),1,0)</f>
        <v>0</v>
      </c>
      <c r="AE117" s="164"/>
      <c r="AF117" s="165">
        <f>IF(AND(AF111&gt;AD111,$AL93&gt;9,$AL92&gt;1,ISNUMBER(AD111),ISNUMBER(AF111)),1,0)</f>
        <v>0</v>
      </c>
      <c r="AW117" s="166"/>
    </row>
    <row r="118" spans="1:49" s="115" customFormat="1" ht="12.75" hidden="1" customHeight="1">
      <c r="A118" s="115" t="s">
        <v>203</v>
      </c>
      <c r="B118" s="164">
        <f>IF(AND(B112&gt;D112,$AL93&gt;0,$AL92&gt;2,ISNUMBER(B112),ISNUMBER(D112)),1,0)</f>
        <v>0</v>
      </c>
      <c r="C118" s="164"/>
      <c r="D118" s="165">
        <f>IF(AND(D112&gt;B112,$AL93&gt;0,$AL92&gt;2,ISNUMBER(B112),ISNUMBER(D112)),1,0)</f>
        <v>0</v>
      </c>
      <c r="E118" s="164">
        <f>IF(AND(E112&gt;G112,$AL93&gt;1,$AL92&gt;2,ISNUMBER(E112),ISNUMBER(G112)),1,0)</f>
        <v>0</v>
      </c>
      <c r="F118" s="164"/>
      <c r="G118" s="165">
        <f>IF(AND(G112&gt;E112,$AL93&gt;1,$AL92&gt;2,ISNUMBER(E112),ISNUMBER(G112)),1,0)</f>
        <v>0</v>
      </c>
      <c r="H118" s="164">
        <f>IF(AND(H112&gt;J112,$AL93&gt;2,$AL92&gt;2,ISNUMBER(H112),ISNUMBER(J112)),1,0)</f>
        <v>0</v>
      </c>
      <c r="I118" s="164"/>
      <c r="J118" s="165">
        <f>IF(AND(J112&gt;H112,$AL93&gt;2,$AL92&gt;2,ISNUMBER(H112),ISNUMBER(J112)),1,0)</f>
        <v>0</v>
      </c>
      <c r="K118" s="168"/>
      <c r="L118" s="164">
        <f>IF(AND(L112&gt;N112,$AL93&gt;3,$AL92&gt;2,ISNUMBER(L112),ISNUMBER(N112)),1,0)</f>
        <v>0</v>
      </c>
      <c r="M118" s="164"/>
      <c r="N118" s="165">
        <f>IF(AND(N112&gt;L112,$AL93&gt;3,$AL92&gt;2,ISNUMBER(L112),ISNUMBER(N112)),1,0)</f>
        <v>0</v>
      </c>
      <c r="O118" s="164">
        <f>IF(AND(O112&gt;Q112,$AL93&gt;4,$AL92&gt;2,ISNUMBER(O112),ISNUMBER(Q112)),1,0)</f>
        <v>0</v>
      </c>
      <c r="P118" s="164"/>
      <c r="Q118" s="165">
        <f>IF(AND(Q112&gt;O112,$AL93&gt;4,$AL92&gt;2,ISNUMBER(O112),ISNUMBER(Q112)),1,0)</f>
        <v>0</v>
      </c>
      <c r="R118" s="164">
        <f>IF(AND(R112&gt;T112,$AL93&gt;5,$AL92&gt;2,ISNUMBER(R112),ISNUMBER(T112)),1,0)</f>
        <v>0</v>
      </c>
      <c r="S118" s="164"/>
      <c r="T118" s="165">
        <f>IF(AND(T112&gt;R112,$AL93&gt;5,$AL92&gt;2,ISNUMBER(R112),ISNUMBER(T112)),1,0)</f>
        <v>0</v>
      </c>
      <c r="U118" s="164">
        <f>IF(AND(U112&gt;W112,$AL93&gt;6,$AL92&gt;2,ISNUMBER(U112),ISNUMBER(W112)),1,0)</f>
        <v>0</v>
      </c>
      <c r="V118" s="164"/>
      <c r="W118" s="165">
        <f>IF(AND(W112&gt;U112,$AL93&gt;6,$AL92&gt;2,ISNUMBER(U112),ISNUMBER(W112)),1,0)</f>
        <v>0</v>
      </c>
      <c r="X118" s="164">
        <f>IF(AND(X112&gt;Z112,$AL93&gt;7,$AL92&gt;2,ISNUMBER(X112),ISNUMBER(Z112)),1,0)</f>
        <v>0</v>
      </c>
      <c r="Y118" s="164"/>
      <c r="Z118" s="165">
        <f>IF(AND(Z112&gt;X112,$AL93&gt;7,$AL92&gt;2,ISNUMBER(X112),ISNUMBER(Z112)),1,0)</f>
        <v>0</v>
      </c>
      <c r="AA118" s="164">
        <f>IF(AND(AA112&gt;AC112,$AL93&gt;8,$AL92&gt;2,ISNUMBER(AA112),ISNUMBER(AC112)),1,0)</f>
        <v>0</v>
      </c>
      <c r="AB118" s="164"/>
      <c r="AC118" s="165">
        <f>IF(AND(AC112&gt;AA112,$AL93&gt;8,$AL92&gt;2,ISNUMBER(AA112),ISNUMBER(AC112)),1,0)</f>
        <v>0</v>
      </c>
      <c r="AD118" s="164">
        <f>IF(AND(AD112&gt;AF112,$AL93&gt;9,$AL92&gt;2,ISNUMBER(AD112),ISNUMBER(AF112)),1,0)</f>
        <v>0</v>
      </c>
      <c r="AE118" s="164"/>
      <c r="AF118" s="165">
        <f>IF(AND(AF112&gt;AD112,$AL93&gt;9,$AL92&gt;2,ISNUMBER(AD112),ISNUMBER(AF112)),1,0)</f>
        <v>0</v>
      </c>
      <c r="AW118" s="166"/>
    </row>
    <row r="119" spans="1:49" s="115" customFormat="1" ht="12.75" hidden="1" customHeight="1">
      <c r="A119" s="115" t="s">
        <v>204</v>
      </c>
      <c r="B119" s="164">
        <f>IF(AND(B113&gt;D113,$AL93&gt;0,$AL92&gt;3,ISNUMBER(B113),ISNUMBER(D113)),1,0)</f>
        <v>0</v>
      </c>
      <c r="C119" s="164"/>
      <c r="D119" s="165">
        <f>IF(AND(D113&gt;B113,$AL93&gt;0,$AL92&gt;3,ISNUMBER(B113),ISNUMBER(D113)),1,0)</f>
        <v>0</v>
      </c>
      <c r="E119" s="164">
        <f>IF(AND(E113&gt;G113,$AL93&gt;1,$AL92&gt;3,ISNUMBER(E113),ISNUMBER(G113)),1,0)</f>
        <v>0</v>
      </c>
      <c r="F119" s="164"/>
      <c r="G119" s="165">
        <f>IF(AND(G113&gt;E113,$AL93&gt;1,$AL92&gt;3,ISNUMBER(E113),ISNUMBER(G113)),1,0)</f>
        <v>0</v>
      </c>
      <c r="H119" s="164">
        <f>IF(AND(H113&gt;J113,$AL93&gt;2,$AL92&gt;3,ISNUMBER(H113),ISNUMBER(J113)),1,0)</f>
        <v>0</v>
      </c>
      <c r="I119" s="164"/>
      <c r="J119" s="165">
        <f>IF(AND(J113&gt;H113,$AL93&gt;2,$AL92&gt;3,ISNUMBER(H113),ISNUMBER(J113)),1,0)</f>
        <v>0</v>
      </c>
      <c r="K119" s="168"/>
      <c r="L119" s="164">
        <f>IF(AND(L113&gt;N113,$AL93&gt;3,$AL92&gt;3,ISNUMBER(L113),ISNUMBER(N113)),1,0)</f>
        <v>0</v>
      </c>
      <c r="M119" s="164"/>
      <c r="N119" s="165">
        <f>IF(AND(N113&gt;L113,$AL93&gt;3,$AL92&gt;3,ISNUMBER(L113),ISNUMBER(N113)),1,0)</f>
        <v>0</v>
      </c>
      <c r="O119" s="164">
        <f>IF(AND(O113&gt;Q113,$AL93&gt;4,$AL92&gt;3,ISNUMBER(O113),ISNUMBER(Q113)),1,0)</f>
        <v>0</v>
      </c>
      <c r="P119" s="164"/>
      <c r="Q119" s="165">
        <f>IF(AND(Q113&gt;O113,$AL93&gt;4,$AL92&gt;3,ISNUMBER(O113),ISNUMBER(Q113)),1,0)</f>
        <v>0</v>
      </c>
      <c r="R119" s="164">
        <f>IF(AND(R113&gt;T113,$AL93&gt;5,$AL92&gt;3,ISNUMBER(R113),ISNUMBER(T113)),1,0)</f>
        <v>0</v>
      </c>
      <c r="S119" s="164"/>
      <c r="T119" s="165">
        <f>IF(AND(T113&gt;R113,$AL93&gt;5,$AL92&gt;3,ISNUMBER(R113),ISNUMBER(T113)),1,0)</f>
        <v>0</v>
      </c>
      <c r="U119" s="164">
        <f>IF(AND(U113&gt;W113,$AL93&gt;6,$AL92&gt;3,ISNUMBER(U113),ISNUMBER(W113)),1,0)</f>
        <v>0</v>
      </c>
      <c r="V119" s="164"/>
      <c r="W119" s="165">
        <f>IF(AND(W113&gt;U113,$AL93&gt;6,$AL92&gt;3,ISNUMBER(U113),ISNUMBER(W113)),1,0)</f>
        <v>0</v>
      </c>
      <c r="X119" s="164">
        <f>IF(AND(X113&gt;Z113,$AL93&gt;7,$AL92&gt;3,ISNUMBER(X113),ISNUMBER(Z113)),1,0)</f>
        <v>0</v>
      </c>
      <c r="Y119" s="164"/>
      <c r="Z119" s="165">
        <f>IF(AND(Z113&gt;X113,$AL93&gt;7,$AL92&gt;3,ISNUMBER(X113),ISNUMBER(Z113)),1,0)</f>
        <v>0</v>
      </c>
      <c r="AA119" s="164">
        <f>IF(AND(AA113&gt;AC113,$AL93&gt;8,$AL92&gt;3,ISNUMBER(AA113),ISNUMBER(AC113)),1,0)</f>
        <v>0</v>
      </c>
      <c r="AB119" s="164"/>
      <c r="AC119" s="165">
        <f>IF(AND(AC113&gt;AA113,$AL93&gt;8,$AL92&gt;3,ISNUMBER(AA113),ISNUMBER(AC113)),1,0)</f>
        <v>0</v>
      </c>
      <c r="AD119" s="164">
        <f>IF(AND(AD113&gt;AF113,$AL93&gt;9,$AL92&gt;3,ISNUMBER(AD113),ISNUMBER(AF113)),1,0)</f>
        <v>0</v>
      </c>
      <c r="AE119" s="164"/>
      <c r="AF119" s="165">
        <f>IF(AND(AF113&gt;AD113,$AL93&gt;9,$AL92&gt;3,ISNUMBER(AD113),ISNUMBER(AF113)),1,0)</f>
        <v>0</v>
      </c>
      <c r="AW119" s="166"/>
    </row>
    <row r="120" spans="1:49" s="115" customFormat="1" ht="12.75" hidden="1" customHeight="1">
      <c r="A120" s="115" t="s">
        <v>205</v>
      </c>
      <c r="B120" s="164">
        <f>IF(AND(B114&gt;D114,$AL93&gt;0,$AL92&gt;4,ISNUMBER(B114),ISNUMBER(D114)),1,0)</f>
        <v>0</v>
      </c>
      <c r="C120" s="164"/>
      <c r="D120" s="165">
        <f>IF(AND(D114&gt;B114,$AL93&gt;0,$AL92&gt;4,ISNUMBER(B114),ISNUMBER(D114)),1,0)</f>
        <v>0</v>
      </c>
      <c r="E120" s="164">
        <f>IF(AND(E114&gt;G114,$AL93&gt;1,$AL92&gt;4,ISNUMBER(E114),ISNUMBER(G114)),1,0)</f>
        <v>0</v>
      </c>
      <c r="F120" s="164"/>
      <c r="G120" s="165">
        <f>IF(AND(G114&gt;E114,$AL93&gt;1,$AL92&gt;4,ISNUMBER(E114),ISNUMBER(G114)),1,0)</f>
        <v>0</v>
      </c>
      <c r="H120" s="164">
        <f>IF(AND(H114&gt;J114,$AL93&gt;2,$AL92&gt;4,ISNUMBER(H114),ISNUMBER(J114)),1,0)</f>
        <v>0</v>
      </c>
      <c r="I120" s="164"/>
      <c r="J120" s="165">
        <f>IF(AND(J114&gt;H114,$AL93&gt;2,$AL92&gt;4,ISNUMBER(H114),ISNUMBER(J114)),1,0)</f>
        <v>0</v>
      </c>
      <c r="K120" s="168"/>
      <c r="L120" s="164">
        <f>IF(AND(L114&gt;N114,$AL93&gt;3,$AL92&gt;4,ISNUMBER(L114),ISNUMBER(N114)),1,0)</f>
        <v>0</v>
      </c>
      <c r="M120" s="164"/>
      <c r="N120" s="165">
        <f>IF(AND(N114&gt;L114,$AL93&gt;3,$AL92&gt;4,ISNUMBER(L114),ISNUMBER(N114)),1,0)</f>
        <v>0</v>
      </c>
      <c r="O120" s="164">
        <f>IF(AND(O114&gt;Q114,$AL93&gt;4,$AL92&gt;4,ISNUMBER(O114),ISNUMBER(Q114)),1,0)</f>
        <v>0</v>
      </c>
      <c r="P120" s="164"/>
      <c r="Q120" s="165">
        <f>IF(AND(Q114&gt;O114,$AL93&gt;4,$AL92&gt;4,ISNUMBER(O114),ISNUMBER(Q114)),1,0)</f>
        <v>0</v>
      </c>
      <c r="R120" s="164">
        <f>IF(AND(R114&gt;T114,$AL93&gt;5,$AL92&gt;4,ISNUMBER(R114),ISNUMBER(T114)),1,0)</f>
        <v>0</v>
      </c>
      <c r="S120" s="164"/>
      <c r="T120" s="165">
        <f>IF(AND(T114&gt;R114,$AL93&gt;5,$AL92&gt;4,ISNUMBER(R114),ISNUMBER(T114)),1,0)</f>
        <v>0</v>
      </c>
      <c r="U120" s="164">
        <f>IF(AND(U114&gt;W114,$AL93&gt;6,$AL92&gt;4,ISNUMBER(U114),ISNUMBER(W114)),1,0)</f>
        <v>0</v>
      </c>
      <c r="V120" s="164"/>
      <c r="W120" s="165">
        <f>IF(AND(W114&gt;U114,$AL93&gt;6,$AL92&gt;4,ISNUMBER(U114),ISNUMBER(W114)),1,0)</f>
        <v>0</v>
      </c>
      <c r="X120" s="164">
        <f>IF(AND(X114&gt;Z114,$AL93&gt;7,$AL92&gt;4,ISNUMBER(X114),ISNUMBER(Z114)),1,0)</f>
        <v>0</v>
      </c>
      <c r="Y120" s="164"/>
      <c r="Z120" s="165">
        <f>IF(AND(Z114&gt;X114,$AL93&gt;7,$AL92&gt;4,ISNUMBER(X114),ISNUMBER(Z114)),1,0)</f>
        <v>0</v>
      </c>
      <c r="AA120" s="164">
        <f>IF(AND(AA114&gt;AC114,$AL93&gt;8,$AL92&gt;4,ISNUMBER(AA114),ISNUMBER(AC114)),1,0)</f>
        <v>0</v>
      </c>
      <c r="AB120" s="164"/>
      <c r="AC120" s="165">
        <f>IF(AND(AC114&gt;AA114,$AL93&gt;8,$AL92&gt;4,ISNUMBER(AA114),ISNUMBER(AC114)),1,0)</f>
        <v>0</v>
      </c>
      <c r="AD120" s="164">
        <f>IF(AND(AD114&gt;AF114,$AL93&gt;9,$AL92&gt;4,ISNUMBER(AD114),ISNUMBER(AF114)),1,0)</f>
        <v>0</v>
      </c>
      <c r="AE120" s="164"/>
      <c r="AF120" s="165">
        <f>IF(AND(AF114&gt;AD114,$AL93&gt;9,$AL92&gt;4,ISNUMBER(AD114),ISNUMBER(AF114)),1,0)</f>
        <v>0</v>
      </c>
      <c r="AW120" s="166"/>
    </row>
    <row r="121" spans="1:49" s="115" customFormat="1" ht="38.25" hidden="1" customHeight="1">
      <c r="A121" s="167" t="s">
        <v>206</v>
      </c>
      <c r="B121" s="115">
        <f>SUM(B116:B120)</f>
        <v>1</v>
      </c>
      <c r="D121" s="168">
        <f>SUM(D116:D120)</f>
        <v>0</v>
      </c>
      <c r="E121" s="115">
        <f>SUM(E116:E120)</f>
        <v>1</v>
      </c>
      <c r="G121" s="168">
        <f>SUM(G116:G120)</f>
        <v>0</v>
      </c>
      <c r="H121" s="115">
        <f>SUM(H116:H120)</f>
        <v>0</v>
      </c>
      <c r="J121" s="168">
        <f>SUM(J116:J120)</f>
        <v>1</v>
      </c>
      <c r="K121" s="168"/>
      <c r="L121" s="115">
        <f>SUM(L116:L120)</f>
        <v>1</v>
      </c>
      <c r="N121" s="168">
        <f>SUM(N116:N120)</f>
        <v>0</v>
      </c>
      <c r="O121" s="115">
        <f>SUM(O116:O120)</f>
        <v>0</v>
      </c>
      <c r="Q121" s="168">
        <f>SUM(Q116:Q120)</f>
        <v>1</v>
      </c>
      <c r="R121" s="115">
        <f>SUM(R116:R120)</f>
        <v>1</v>
      </c>
      <c r="T121" s="168">
        <f>SUM(T116:T120)</f>
        <v>0</v>
      </c>
      <c r="U121" s="115">
        <f>SUM(U116:U120)</f>
        <v>0</v>
      </c>
      <c r="W121" s="168">
        <f>SUM(W116:W120)</f>
        <v>0</v>
      </c>
      <c r="X121" s="115">
        <f>SUM(X116:X120)</f>
        <v>0</v>
      </c>
      <c r="Z121" s="168">
        <f>SUM(Z116:Z120)</f>
        <v>0</v>
      </c>
      <c r="AA121" s="115">
        <f>SUM(AA116:AA120)</f>
        <v>0</v>
      </c>
      <c r="AC121" s="168">
        <f>SUM(AC116:AC120)</f>
        <v>0</v>
      </c>
      <c r="AD121" s="115">
        <f>SUM(AD116:AD120)</f>
        <v>0</v>
      </c>
      <c r="AF121" s="168">
        <f>SUM(AF116:AF120)</f>
        <v>0</v>
      </c>
      <c r="AW121" s="166"/>
    </row>
    <row r="122" spans="1:49" s="115" customFormat="1" ht="25.5" hidden="1" customHeight="1">
      <c r="A122" s="167" t="s">
        <v>207</v>
      </c>
      <c r="B122" s="115">
        <f>IF(B121&gt;D121,IF(C156=AL92,1,IF(C156=AL92-1,1,0)),0)</f>
        <v>1</v>
      </c>
      <c r="C122" s="115">
        <f>B122+D122</f>
        <v>1</v>
      </c>
      <c r="D122" s="168">
        <f>IF(D121&gt;B121,IF(C156=AL92,1,IF(C156=AL92-1,1,0)),0)</f>
        <v>0</v>
      </c>
      <c r="E122" s="115">
        <f>IF(E121&gt;G121,IF(F156=AL92,1,IF(F156=AL92-1,1,0)),0)</f>
        <v>1</v>
      </c>
      <c r="F122" s="115">
        <f>E122+G122</f>
        <v>1</v>
      </c>
      <c r="G122" s="168">
        <f>IF(G121&gt;E121,IF(F156=AL92,1,IF(F156=AL92-1,1,0)),0)</f>
        <v>0</v>
      </c>
      <c r="H122" s="115">
        <f>IF(H121&gt;J121,IF(I156=AL92,1,IF(I156=AL92-1,1,0)),0)</f>
        <v>0</v>
      </c>
      <c r="I122" s="115">
        <f>H122+J122</f>
        <v>1</v>
      </c>
      <c r="J122" s="168">
        <f>IF(J121&gt;H121,IF(I156=AL92,1,IF(I156=AL92-1,1,0)),0)</f>
        <v>1</v>
      </c>
      <c r="K122" s="168"/>
      <c r="L122" s="115">
        <f>IF(L121&gt;N121,IF(M156=AL92,1,IF(M156=AL92-1,1,0)),0)</f>
        <v>1</v>
      </c>
      <c r="M122" s="115">
        <f>L122+N122</f>
        <v>1</v>
      </c>
      <c r="N122" s="168">
        <f>IF(N121&gt;L121,IF(M156=AL92,1,IF(M156=AL92-1,1,0)),0)</f>
        <v>0</v>
      </c>
      <c r="O122" s="115">
        <f>IF(O121&gt;Q121,IF(P156=AL92,1,IF(P156=AL92-1,1,0)),0)</f>
        <v>0</v>
      </c>
      <c r="P122" s="115">
        <f>O122+Q122</f>
        <v>1</v>
      </c>
      <c r="Q122" s="168">
        <f>IF(Q121&gt;O121,IF(P156=AL92,1,IF(P156=AL92-1,1,0)),0)</f>
        <v>1</v>
      </c>
      <c r="R122" s="115">
        <f>IF(R121&gt;T121,IF(S156=AL92,1,IF(S156=AL92-1,1,0)),0)</f>
        <v>1</v>
      </c>
      <c r="S122" s="115">
        <f>R122+T122</f>
        <v>1</v>
      </c>
      <c r="T122" s="168">
        <f>IF(T121&gt;R121,IF(S156=AL92,1,IF(S156=AL92-1,1,0)),0)</f>
        <v>0</v>
      </c>
      <c r="U122" s="115">
        <f>IF(U121&gt;W121,IF(V156=AL92,1,IF(V156=AL92-1,1,0)),0)</f>
        <v>0</v>
      </c>
      <c r="V122" s="115">
        <f>U122+W122</f>
        <v>0</v>
      </c>
      <c r="W122" s="168">
        <f>IF(W121&gt;U121,IF(V156=AL92,1,IF(V156=AL92-1,1,0)),0)</f>
        <v>0</v>
      </c>
      <c r="X122" s="115">
        <f>IF(X121&gt;Z121,IF(Y156=AL92,1,IF(Y156=AL92-1,1,0)),0)</f>
        <v>0</v>
      </c>
      <c r="Y122" s="115">
        <f>X122+Z122</f>
        <v>0</v>
      </c>
      <c r="Z122" s="168">
        <f>IF(Z121&gt;X121,IF(Y156=AL92,1,IF(Y156=AL92-1,1,0)),0)</f>
        <v>0</v>
      </c>
      <c r="AA122" s="115">
        <f>IF(AA121&gt;AC121,IF(AB156=AL92,1,IF(AB156=AL92-1,1,0)),0)</f>
        <v>0</v>
      </c>
      <c r="AB122" s="115">
        <f>AA122+AC122</f>
        <v>0</v>
      </c>
      <c r="AC122" s="168">
        <f>IF(AC121&gt;AA121,IF(AB156=AL92,1,IF(AB156=AL92-1,1,0)),0)</f>
        <v>0</v>
      </c>
      <c r="AD122" s="115">
        <f>IF(AD121&gt;AF121,IF(AE156=AL92,1,IF(AE156=AL92-1,1,0)),0)</f>
        <v>0</v>
      </c>
      <c r="AE122" s="115">
        <f>AD122+AF122</f>
        <v>0</v>
      </c>
      <c r="AF122" s="168">
        <f>IF(AF121&gt;AD121,IF(AE156=AL92,1,IF(AE156=AL92-1,1,0)),0)</f>
        <v>0</v>
      </c>
      <c r="AW122" s="166"/>
    </row>
    <row r="123" spans="1:49" s="115" customFormat="1" ht="25.5" hidden="1" customHeight="1">
      <c r="A123" s="167"/>
      <c r="D123" s="168"/>
      <c r="G123" s="168"/>
      <c r="J123" s="168"/>
      <c r="K123" s="168"/>
      <c r="N123" s="168"/>
      <c r="Q123" s="168"/>
      <c r="T123" s="168"/>
      <c r="W123" s="168"/>
      <c r="Z123" s="168"/>
      <c r="AC123" s="168"/>
      <c r="AF123" s="168"/>
      <c r="AW123" s="166"/>
    </row>
    <row r="124" spans="1:49" s="115" customFormat="1" ht="12.75" hidden="1" customHeight="1">
      <c r="A124" s="115" t="s">
        <v>208</v>
      </c>
      <c r="B124" s="115">
        <f>IF(B116=1,B110,0)</f>
        <v>20</v>
      </c>
      <c r="D124" s="168">
        <f t="shared" ref="D124:E128" si="10">IF(D116=1,D110,0)</f>
        <v>0</v>
      </c>
      <c r="E124" s="115">
        <f t="shared" si="10"/>
        <v>30</v>
      </c>
      <c r="G124" s="168">
        <f t="shared" ref="G124:H128" si="11">IF(G116=1,G110,0)</f>
        <v>0</v>
      </c>
      <c r="H124" s="115">
        <f t="shared" si="11"/>
        <v>0</v>
      </c>
      <c r="J124" s="168">
        <f>IF(J116=1,J110,0)</f>
        <v>20</v>
      </c>
      <c r="K124" s="168"/>
      <c r="L124" s="115">
        <f>IF(L116=1,L110,0)</f>
        <v>27</v>
      </c>
      <c r="N124" s="168">
        <f t="shared" ref="N124:O128" si="12">IF(N116=1,N110,0)</f>
        <v>0</v>
      </c>
      <c r="O124" s="115">
        <f t="shared" si="12"/>
        <v>0</v>
      </c>
      <c r="Q124" s="168">
        <f t="shared" ref="Q124:R128" si="13">IF(Q116=1,Q110,0)</f>
        <v>22</v>
      </c>
      <c r="R124" s="115">
        <f t="shared" si="13"/>
        <v>20</v>
      </c>
      <c r="T124" s="168">
        <f t="shared" ref="T124:U128" si="14">IF(T116=1,T110,0)</f>
        <v>0</v>
      </c>
      <c r="U124" s="115">
        <f t="shared" si="14"/>
        <v>0</v>
      </c>
      <c r="W124" s="168">
        <f t="shared" ref="W124:X128" si="15">IF(W116=1,W110,0)</f>
        <v>0</v>
      </c>
      <c r="X124" s="115">
        <f t="shared" si="15"/>
        <v>0</v>
      </c>
      <c r="Z124" s="168">
        <f t="shared" ref="Z124:AA128" si="16">IF(Z116=1,Z110,0)</f>
        <v>0</v>
      </c>
      <c r="AA124" s="115">
        <f t="shared" si="16"/>
        <v>0</v>
      </c>
      <c r="AC124" s="168">
        <f t="shared" ref="AC124:AD128" si="17">IF(AC116=1,AC110,0)</f>
        <v>0</v>
      </c>
      <c r="AD124" s="115">
        <f t="shared" si="17"/>
        <v>0</v>
      </c>
      <c r="AF124" s="168">
        <f>IF(AF116=1,AF110,0)</f>
        <v>0</v>
      </c>
      <c r="AW124" s="166"/>
    </row>
    <row r="125" spans="1:49" s="115" customFormat="1" ht="12.75" hidden="1" customHeight="1">
      <c r="A125" s="115" t="s">
        <v>209</v>
      </c>
      <c r="B125" s="115">
        <f>IF(B117=1,B111,0)</f>
        <v>0</v>
      </c>
      <c r="D125" s="168">
        <f t="shared" si="10"/>
        <v>0</v>
      </c>
      <c r="E125" s="115">
        <f t="shared" si="10"/>
        <v>0</v>
      </c>
      <c r="G125" s="168">
        <f t="shared" si="11"/>
        <v>0</v>
      </c>
      <c r="H125" s="115">
        <f t="shared" si="11"/>
        <v>0</v>
      </c>
      <c r="J125" s="168">
        <f>IF(J117=1,J111,0)</f>
        <v>0</v>
      </c>
      <c r="K125" s="168"/>
      <c r="L125" s="115">
        <f>IF(L117=1,L111,0)</f>
        <v>0</v>
      </c>
      <c r="N125" s="168">
        <f t="shared" si="12"/>
        <v>0</v>
      </c>
      <c r="O125" s="115">
        <f t="shared" si="12"/>
        <v>0</v>
      </c>
      <c r="Q125" s="168">
        <f t="shared" si="13"/>
        <v>0</v>
      </c>
      <c r="R125" s="115">
        <f t="shared" si="13"/>
        <v>0</v>
      </c>
      <c r="T125" s="168">
        <f t="shared" si="14"/>
        <v>0</v>
      </c>
      <c r="U125" s="115">
        <f t="shared" si="14"/>
        <v>0</v>
      </c>
      <c r="W125" s="168">
        <f t="shared" si="15"/>
        <v>0</v>
      </c>
      <c r="X125" s="115">
        <f t="shared" si="15"/>
        <v>0</v>
      </c>
      <c r="Z125" s="168">
        <f t="shared" si="16"/>
        <v>0</v>
      </c>
      <c r="AA125" s="115">
        <f t="shared" si="16"/>
        <v>0</v>
      </c>
      <c r="AC125" s="168">
        <f t="shared" si="17"/>
        <v>0</v>
      </c>
      <c r="AD125" s="115">
        <f t="shared" si="17"/>
        <v>0</v>
      </c>
      <c r="AF125" s="168">
        <f>IF(AF117=1,AF111,0)</f>
        <v>0</v>
      </c>
      <c r="AW125" s="166"/>
    </row>
    <row r="126" spans="1:49" s="115" customFormat="1" ht="12.75" hidden="1" customHeight="1">
      <c r="A126" s="115" t="s">
        <v>210</v>
      </c>
      <c r="B126" s="115">
        <f>IF(B118=1,B112,0)</f>
        <v>0</v>
      </c>
      <c r="D126" s="168">
        <f t="shared" si="10"/>
        <v>0</v>
      </c>
      <c r="E126" s="115">
        <f t="shared" si="10"/>
        <v>0</v>
      </c>
      <c r="G126" s="168">
        <f t="shared" si="11"/>
        <v>0</v>
      </c>
      <c r="H126" s="115">
        <f t="shared" si="11"/>
        <v>0</v>
      </c>
      <c r="J126" s="168">
        <f>IF(J118=1,J112,0)</f>
        <v>0</v>
      </c>
      <c r="K126" s="168"/>
      <c r="L126" s="115">
        <f>IF(L118=1,L112,0)</f>
        <v>0</v>
      </c>
      <c r="N126" s="168">
        <f t="shared" si="12"/>
        <v>0</v>
      </c>
      <c r="O126" s="115">
        <f t="shared" si="12"/>
        <v>0</v>
      </c>
      <c r="Q126" s="168">
        <f t="shared" si="13"/>
        <v>0</v>
      </c>
      <c r="R126" s="115">
        <f t="shared" si="13"/>
        <v>0</v>
      </c>
      <c r="T126" s="168">
        <f t="shared" si="14"/>
        <v>0</v>
      </c>
      <c r="U126" s="115">
        <f t="shared" si="14"/>
        <v>0</v>
      </c>
      <c r="W126" s="168">
        <f t="shared" si="15"/>
        <v>0</v>
      </c>
      <c r="X126" s="115">
        <f t="shared" si="15"/>
        <v>0</v>
      </c>
      <c r="Z126" s="168">
        <f t="shared" si="16"/>
        <v>0</v>
      </c>
      <c r="AA126" s="115">
        <f t="shared" si="16"/>
        <v>0</v>
      </c>
      <c r="AC126" s="168">
        <f t="shared" si="17"/>
        <v>0</v>
      </c>
      <c r="AD126" s="115">
        <f t="shared" si="17"/>
        <v>0</v>
      </c>
      <c r="AF126" s="168">
        <f>IF(AF118=1,AF112,0)</f>
        <v>0</v>
      </c>
      <c r="AW126" s="166"/>
    </row>
    <row r="127" spans="1:49" s="115" customFormat="1" ht="12.75" hidden="1" customHeight="1">
      <c r="A127" s="115" t="s">
        <v>211</v>
      </c>
      <c r="B127" s="115">
        <f>IF(B119=1,B113,0)</f>
        <v>0</v>
      </c>
      <c r="D127" s="168">
        <f t="shared" si="10"/>
        <v>0</v>
      </c>
      <c r="E127" s="115">
        <f t="shared" si="10"/>
        <v>0</v>
      </c>
      <c r="G127" s="168">
        <f t="shared" si="11"/>
        <v>0</v>
      </c>
      <c r="H127" s="115">
        <f t="shared" si="11"/>
        <v>0</v>
      </c>
      <c r="J127" s="168">
        <f>IF(J119=1,J113,0)</f>
        <v>0</v>
      </c>
      <c r="K127" s="168"/>
      <c r="L127" s="115">
        <f>IF(L119=1,L113,0)</f>
        <v>0</v>
      </c>
      <c r="N127" s="168">
        <f t="shared" si="12"/>
        <v>0</v>
      </c>
      <c r="O127" s="115">
        <f t="shared" si="12"/>
        <v>0</v>
      </c>
      <c r="Q127" s="168">
        <f t="shared" si="13"/>
        <v>0</v>
      </c>
      <c r="R127" s="115">
        <f t="shared" si="13"/>
        <v>0</v>
      </c>
      <c r="T127" s="168">
        <f t="shared" si="14"/>
        <v>0</v>
      </c>
      <c r="U127" s="115">
        <f t="shared" si="14"/>
        <v>0</v>
      </c>
      <c r="W127" s="168">
        <f t="shared" si="15"/>
        <v>0</v>
      </c>
      <c r="X127" s="115">
        <f t="shared" si="15"/>
        <v>0</v>
      </c>
      <c r="Z127" s="168">
        <f t="shared" si="16"/>
        <v>0</v>
      </c>
      <c r="AA127" s="115">
        <f t="shared" si="16"/>
        <v>0</v>
      </c>
      <c r="AC127" s="168">
        <f t="shared" si="17"/>
        <v>0</v>
      </c>
      <c r="AD127" s="115">
        <f t="shared" si="17"/>
        <v>0</v>
      </c>
      <c r="AF127" s="168">
        <f>IF(AF119=1,AF113,0)</f>
        <v>0</v>
      </c>
      <c r="AW127" s="166"/>
    </row>
    <row r="128" spans="1:49" s="115" customFormat="1" ht="12.75" hidden="1" customHeight="1">
      <c r="A128" s="115" t="s">
        <v>212</v>
      </c>
      <c r="B128" s="115">
        <f>IF(B120=1,B114,0)</f>
        <v>0</v>
      </c>
      <c r="D128" s="168">
        <f t="shared" si="10"/>
        <v>0</v>
      </c>
      <c r="E128" s="115">
        <f t="shared" si="10"/>
        <v>0</v>
      </c>
      <c r="G128" s="168">
        <f t="shared" si="11"/>
        <v>0</v>
      </c>
      <c r="H128" s="115">
        <f t="shared" si="11"/>
        <v>0</v>
      </c>
      <c r="J128" s="168">
        <f>IF(J120=1,J114,0)</f>
        <v>0</v>
      </c>
      <c r="K128" s="168"/>
      <c r="L128" s="115">
        <f>IF(L120=1,L114,0)</f>
        <v>0</v>
      </c>
      <c r="N128" s="168">
        <f t="shared" si="12"/>
        <v>0</v>
      </c>
      <c r="O128" s="115">
        <f t="shared" si="12"/>
        <v>0</v>
      </c>
      <c r="Q128" s="168">
        <f t="shared" si="13"/>
        <v>0</v>
      </c>
      <c r="R128" s="115">
        <f t="shared" si="13"/>
        <v>0</v>
      </c>
      <c r="T128" s="168">
        <f t="shared" si="14"/>
        <v>0</v>
      </c>
      <c r="U128" s="115">
        <f t="shared" si="14"/>
        <v>0</v>
      </c>
      <c r="W128" s="168">
        <f t="shared" si="15"/>
        <v>0</v>
      </c>
      <c r="X128" s="115">
        <f t="shared" si="15"/>
        <v>0</v>
      </c>
      <c r="Z128" s="168">
        <f t="shared" si="16"/>
        <v>0</v>
      </c>
      <c r="AA128" s="115">
        <f t="shared" si="16"/>
        <v>0</v>
      </c>
      <c r="AC128" s="168">
        <f t="shared" si="17"/>
        <v>0</v>
      </c>
      <c r="AD128" s="115">
        <f t="shared" si="17"/>
        <v>0</v>
      </c>
      <c r="AF128" s="168">
        <f>IF(AF120=1,AF114,0)</f>
        <v>0</v>
      </c>
      <c r="AW128" s="166"/>
    </row>
    <row r="129" spans="1:49" s="115" customFormat="1" ht="38.25" hidden="1" customHeight="1">
      <c r="A129" s="167" t="s">
        <v>213</v>
      </c>
      <c r="B129" s="115">
        <f>SUM(B124:D128)</f>
        <v>20</v>
      </c>
      <c r="D129" s="168"/>
      <c r="E129" s="115">
        <f>SUM(E124:G128)</f>
        <v>30</v>
      </c>
      <c r="G129" s="168"/>
      <c r="H129" s="115">
        <f>SUM(H124:J128)</f>
        <v>20</v>
      </c>
      <c r="J129" s="168"/>
      <c r="K129" s="168"/>
      <c r="L129" s="115">
        <f>SUM(L124:N128)</f>
        <v>27</v>
      </c>
      <c r="N129" s="168"/>
      <c r="O129" s="115">
        <f>SUM(O124:Q128)</f>
        <v>22</v>
      </c>
      <c r="Q129" s="168"/>
      <c r="R129" s="115">
        <f>SUM(R124:T128)</f>
        <v>20</v>
      </c>
      <c r="T129" s="168"/>
      <c r="U129" s="115">
        <f>SUM(U124:W128)</f>
        <v>0</v>
      </c>
      <c r="W129" s="168"/>
      <c r="X129" s="115">
        <f>SUM(X124:Z128)</f>
        <v>0</v>
      </c>
      <c r="Z129" s="168"/>
      <c r="AA129" s="115">
        <f>SUM(AA124:AC128)</f>
        <v>0</v>
      </c>
      <c r="AC129" s="168"/>
      <c r="AD129" s="115">
        <f>SUM(AD124:AF128)</f>
        <v>0</v>
      </c>
      <c r="AF129" s="168"/>
      <c r="AW129" s="166"/>
    </row>
    <row r="130" spans="1:49" s="115" customFormat="1" ht="38.25" hidden="1" customHeight="1">
      <c r="A130" s="115" t="s">
        <v>214</v>
      </c>
      <c r="D130" s="168"/>
      <c r="G130" s="168"/>
      <c r="J130" s="168"/>
      <c r="K130" s="168"/>
      <c r="N130" s="168"/>
      <c r="Q130" s="168"/>
      <c r="T130" s="168"/>
      <c r="W130" s="168"/>
      <c r="Z130" s="168"/>
      <c r="AC130" s="168"/>
      <c r="AF130" s="168"/>
      <c r="AG130" s="167" t="s">
        <v>215</v>
      </c>
      <c r="AH130" s="115" t="s">
        <v>216</v>
      </c>
      <c r="AW130" s="166"/>
    </row>
    <row r="131" spans="1:49" s="115" customFormat="1" ht="12.75" hidden="1" customHeight="1">
      <c r="A131" s="115" t="s">
        <v>38</v>
      </c>
      <c r="B131" s="115">
        <f>IF(B109=1,IF(B122=1,1,0),0)</f>
        <v>0</v>
      </c>
      <c r="D131" s="168">
        <f>IF(D109=1,IF(D122=1,1,0),0)</f>
        <v>0</v>
      </c>
      <c r="E131" s="115">
        <f>IF(E109=1,IF(E122=1,1,0),0)</f>
        <v>1</v>
      </c>
      <c r="G131" s="168">
        <f>IF(G109=1,IF(G122=1,1,0),0)</f>
        <v>0</v>
      </c>
      <c r="H131" s="115">
        <f>IF(H109=1,IF(H122=1,1,0),0)</f>
        <v>0</v>
      </c>
      <c r="J131" s="168">
        <f>IF(J109=1,IF(J122=1,1,0),0)</f>
        <v>0</v>
      </c>
      <c r="K131" s="168"/>
      <c r="L131" s="115">
        <f>IF(L109=1,IF(L122=1,1,0),0)</f>
        <v>1</v>
      </c>
      <c r="N131" s="168">
        <f>IF(N109=1,IF(N122=1,1,0),0)</f>
        <v>0</v>
      </c>
      <c r="O131" s="115">
        <f>IF(O109=1,IF(O122=1,1,0),0)</f>
        <v>0</v>
      </c>
      <c r="Q131" s="168">
        <f>IF(Q109=1,IF(Q122=1,1,0),0)</f>
        <v>0</v>
      </c>
      <c r="R131" s="115">
        <f>IF(R109=1,IF(R122=1,1,0),0)</f>
        <v>1</v>
      </c>
      <c r="T131" s="168">
        <f>IF(T109=1,IF(T122=1,1,0),0)</f>
        <v>0</v>
      </c>
      <c r="U131" s="115">
        <f>IF(U109=1,IF(U122=1,1,0),0)</f>
        <v>0</v>
      </c>
      <c r="W131" s="168">
        <f>IF(W109=1,IF(W122=1,1,0),0)</f>
        <v>0</v>
      </c>
      <c r="X131" s="115">
        <f>IF(X109=1,IF(X122=1,1,0),0)</f>
        <v>0</v>
      </c>
      <c r="Z131" s="168">
        <f>IF(Z109=1,IF(Z122=1,1,0),0)</f>
        <v>0</v>
      </c>
      <c r="AA131" s="115">
        <f>IF(AA109=1,IF(AA122=1,1,0),0)</f>
        <v>0</v>
      </c>
      <c r="AC131" s="168">
        <f>IF(AC109=1,IF(AC122=1,1,0),0)</f>
        <v>0</v>
      </c>
      <c r="AD131" s="115">
        <f>IF(AD109=1,IF(AD122=1,1,0),0)</f>
        <v>0</v>
      </c>
      <c r="AF131" s="168">
        <f>IF(AF109=1,IF(AF122=1,1,0),0)</f>
        <v>0</v>
      </c>
      <c r="AG131" s="115">
        <f>SUM(B131:AF131)</f>
        <v>3</v>
      </c>
      <c r="AH131" s="115">
        <f>AG137-AG131</f>
        <v>0</v>
      </c>
      <c r="AW131" s="166"/>
    </row>
    <row r="132" spans="1:49" s="115" customFormat="1" ht="12.75" hidden="1" customHeight="1">
      <c r="A132" s="115" t="s">
        <v>39</v>
      </c>
      <c r="B132" s="115">
        <f>IF(B109=2,IF(B122=1,1,0),0)</f>
        <v>1</v>
      </c>
      <c r="D132" s="168">
        <f>IF(D109=2,IF(D122=1,1,0),0)</f>
        <v>0</v>
      </c>
      <c r="E132" s="115">
        <f>IF(E109=2,IF(E122=1,1,0),0)</f>
        <v>0</v>
      </c>
      <c r="G132" s="168">
        <f>IF(G109=2,IF(G122=1,1,0),0)</f>
        <v>0</v>
      </c>
      <c r="H132" s="115">
        <f>IF(H109=2,IF(H122=1,1,0),0)</f>
        <v>0</v>
      </c>
      <c r="J132" s="168">
        <f>IF(J109=2,IF(J122=1,1,0),0)</f>
        <v>0</v>
      </c>
      <c r="K132" s="168"/>
      <c r="L132" s="115">
        <f>IF(L109=2,IF(L122=1,1,0),0)</f>
        <v>0</v>
      </c>
      <c r="N132" s="168">
        <f>IF(N109=2,IF(N122=1,1,0),0)</f>
        <v>0</v>
      </c>
      <c r="O132" s="115">
        <f>IF(O109=2,IF(O122=1,1,0),0)</f>
        <v>0</v>
      </c>
      <c r="Q132" s="168">
        <f>IF(Q109=2,IF(Q122=1,1,0),0)</f>
        <v>0</v>
      </c>
      <c r="R132" s="115">
        <f>IF(R109=2,IF(R122=1,1,0),0)</f>
        <v>0</v>
      </c>
      <c r="T132" s="168">
        <f>IF(T109=2,IF(T122=1,1,0),0)</f>
        <v>0</v>
      </c>
      <c r="U132" s="115">
        <f>IF(U109=2,IF(U122=1,1,0),0)</f>
        <v>0</v>
      </c>
      <c r="W132" s="168">
        <f>IF(W109=2,IF(W122=1,1,0),0)</f>
        <v>0</v>
      </c>
      <c r="X132" s="115">
        <f>IF(X109=2,IF(X122=1,1,0),0)</f>
        <v>0</v>
      </c>
      <c r="Z132" s="168">
        <f>IF(Z109=2,IF(Z122=1,1,0),0)</f>
        <v>0</v>
      </c>
      <c r="AA132" s="115">
        <f>IF(AA109=2,IF(AA122=1,1,0),0)</f>
        <v>0</v>
      </c>
      <c r="AC132" s="168">
        <f>IF(AC109=2,IF(AC122=1,1,0),0)</f>
        <v>0</v>
      </c>
      <c r="AD132" s="115">
        <f>IF(AD109=2,IF(AD122=1,1,0),0)</f>
        <v>0</v>
      </c>
      <c r="AF132" s="168">
        <f>IF(AF109=2,IF(AF122=1,1,0),0)</f>
        <v>0</v>
      </c>
      <c r="AG132" s="115">
        <f>SUM(B132:AF132)</f>
        <v>1</v>
      </c>
      <c r="AH132" s="115">
        <f>AG138-AG132</f>
        <v>2</v>
      </c>
      <c r="AW132" s="166"/>
    </row>
    <row r="133" spans="1:49" s="115" customFormat="1" ht="12.75" hidden="1" customHeight="1">
      <c r="A133" s="115" t="s">
        <v>40</v>
      </c>
      <c r="B133" s="115">
        <f>IF(B109=3,IF(B122=1,1,0),0)</f>
        <v>0</v>
      </c>
      <c r="D133" s="168">
        <f>IF(D109=3,IF(D122=1,1,0),0)</f>
        <v>0</v>
      </c>
      <c r="E133" s="115">
        <f>IF(E109=3,IF(E122=1,1,0),0)</f>
        <v>0</v>
      </c>
      <c r="G133" s="168">
        <f>IF(G109=3,IF(G122=1,1,0),0)</f>
        <v>0</v>
      </c>
      <c r="H133" s="115">
        <f>IF(H109=3,IF(H122=1,1,0),0)</f>
        <v>0</v>
      </c>
      <c r="J133" s="168">
        <f>IF(J109=3,IF(J122=1,1,0),0)</f>
        <v>0</v>
      </c>
      <c r="K133" s="168"/>
      <c r="L133" s="115">
        <f>IF(L109=3,IF(L122=1,1,0),0)</f>
        <v>0</v>
      </c>
      <c r="N133" s="168">
        <f>IF(N109=3,IF(N122=1,1,0),0)</f>
        <v>0</v>
      </c>
      <c r="O133" s="115">
        <f>IF(O109=3,IF(O122=1,1,0),0)</f>
        <v>0</v>
      </c>
      <c r="Q133" s="168">
        <f>IF(Q109=3,IF(Q122=1,1,0),0)</f>
        <v>0</v>
      </c>
      <c r="R133" s="115">
        <f>IF(R109=3,IF(R122=1,1,0),0)</f>
        <v>0</v>
      </c>
      <c r="T133" s="168">
        <f>IF(T109=3,IF(T122=1,1,0),0)</f>
        <v>0</v>
      </c>
      <c r="U133" s="115">
        <f>IF(U109=3,IF(U122=1,1,0),0)</f>
        <v>0</v>
      </c>
      <c r="W133" s="168">
        <f>IF(W109=3,IF(W122=1,1,0),0)</f>
        <v>0</v>
      </c>
      <c r="X133" s="115">
        <f>IF(X109=3,IF(X122=1,1,0),0)</f>
        <v>0</v>
      </c>
      <c r="Z133" s="168">
        <f>IF(Z109=3,IF(Z122=1,1,0),0)</f>
        <v>0</v>
      </c>
      <c r="AA133" s="115">
        <f>IF(AA109=3,IF(AA122=1,1,0),0)</f>
        <v>0</v>
      </c>
      <c r="AC133" s="168">
        <f>IF(AC109=3,IF(AC122=1,1,0),0)</f>
        <v>0</v>
      </c>
      <c r="AD133" s="115">
        <f>IF(AD109=3,IF(AD122=1,1,0),0)</f>
        <v>0</v>
      </c>
      <c r="AF133" s="168">
        <f>IF(AF109=3,IF(AF122=1,1,0),0)</f>
        <v>0</v>
      </c>
      <c r="AG133" s="115">
        <f>SUM(B133:AF133)</f>
        <v>0</v>
      </c>
      <c r="AH133" s="115">
        <f>AG139-AG133</f>
        <v>3</v>
      </c>
      <c r="AW133" s="166"/>
    </row>
    <row r="134" spans="1:49" s="115" customFormat="1" ht="12.75" hidden="1" customHeight="1">
      <c r="A134" s="115" t="s">
        <v>41</v>
      </c>
      <c r="B134" s="115">
        <f>IF(B109=4,IF(B122=1,1,0),0)</f>
        <v>0</v>
      </c>
      <c r="D134" s="168">
        <f>IF(D109=4,IF(D122=1,1,0),0)</f>
        <v>0</v>
      </c>
      <c r="E134" s="115">
        <f>IF(E109=4,IF(E122=1,1,0),0)</f>
        <v>0</v>
      </c>
      <c r="G134" s="168">
        <f>IF(G109=4,IF(G122=1,1,0),0)</f>
        <v>0</v>
      </c>
      <c r="H134" s="115">
        <f>IF(H109=4,IF(H122=1,1,0),0)</f>
        <v>0</v>
      </c>
      <c r="J134" s="168">
        <f>IF(J109=4,IF(J122=1,1,0),0)</f>
        <v>1</v>
      </c>
      <c r="K134" s="168"/>
      <c r="L134" s="115">
        <f>IF(L109=4,IF(L122=1,1,0),0)</f>
        <v>0</v>
      </c>
      <c r="N134" s="168">
        <f>IF(N109=4,IF(N122=1,1,0),0)</f>
        <v>0</v>
      </c>
      <c r="O134" s="115">
        <f>IF(O109=4,IF(O122=1,1,0),0)</f>
        <v>0</v>
      </c>
      <c r="Q134" s="168">
        <f>IF(Q109=4,IF(Q122=1,1,0),0)</f>
        <v>1</v>
      </c>
      <c r="R134" s="115">
        <f>IF(R109=4,IF(R122=1,1,0),0)</f>
        <v>0</v>
      </c>
      <c r="T134" s="168">
        <f>IF(T109=4,IF(T122=1,1,0),0)</f>
        <v>0</v>
      </c>
      <c r="U134" s="115">
        <f>IF(U109=4,IF(U122=1,1,0),0)</f>
        <v>0</v>
      </c>
      <c r="W134" s="168">
        <f>IF(W109=4,IF(W122=1,1,0),0)</f>
        <v>0</v>
      </c>
      <c r="X134" s="115">
        <f>IF(X109=4,IF(X122=1,1,0),0)</f>
        <v>0</v>
      </c>
      <c r="Z134" s="168">
        <f>IF(Z109=4,IF(Z122=1,1,0),0)</f>
        <v>0</v>
      </c>
      <c r="AA134" s="115">
        <f>IF(AA109=4,IF(AA122=1,1,0),0)</f>
        <v>0</v>
      </c>
      <c r="AC134" s="168">
        <f>IF(AC109=4,IF(AC122=1,1,0),0)</f>
        <v>0</v>
      </c>
      <c r="AD134" s="115">
        <f>IF(AD109=4,IF(AD122=1,1,0),0)</f>
        <v>0</v>
      </c>
      <c r="AF134" s="168">
        <f>IF(AF109=4,IF(AF122=1,1,0),0)</f>
        <v>0</v>
      </c>
      <c r="AG134" s="115">
        <f>SUM(B134:AF134)</f>
        <v>2</v>
      </c>
      <c r="AH134" s="115">
        <f>AG140-AG134</f>
        <v>1</v>
      </c>
      <c r="AW134" s="166"/>
    </row>
    <row r="135" spans="1:49" s="115" customFormat="1" ht="12.75" hidden="1" customHeight="1">
      <c r="A135" s="115" t="s">
        <v>42</v>
      </c>
      <c r="B135" s="115">
        <f>IF(B109=5,IF(B122=1,1,0),0)</f>
        <v>0</v>
      </c>
      <c r="D135" s="168">
        <f>IF(D109=5,IF(D122=1,1,0),0)</f>
        <v>0</v>
      </c>
      <c r="E135" s="115">
        <f>IF(E109=5,IF(E122=1,1,0),0)</f>
        <v>0</v>
      </c>
      <c r="G135" s="168">
        <f>IF(G109=5,IF(G122=1,1,0),0)</f>
        <v>0</v>
      </c>
      <c r="H135" s="115">
        <f>IF(H109=5,IF(H122=1,1,0),0)</f>
        <v>0</v>
      </c>
      <c r="J135" s="168">
        <f>IF(J109=5,IF(J122=1,1,0),0)</f>
        <v>0</v>
      </c>
      <c r="K135" s="168"/>
      <c r="L135" s="115">
        <f>IF(L109=5,IF(L122=1,1,0),0)</f>
        <v>0</v>
      </c>
      <c r="N135" s="168">
        <f>IF(N109=5,IF(N122=1,1,0),0)</f>
        <v>0</v>
      </c>
      <c r="O135" s="115">
        <f>IF(O109=5,IF(O122=1,1,0),0)</f>
        <v>0</v>
      </c>
      <c r="Q135" s="168">
        <f>IF(Q109=5,IF(Q122=1,1,0),0)</f>
        <v>0</v>
      </c>
      <c r="R135" s="115">
        <f>IF(R109=5,IF(R122=1,1,0),0)</f>
        <v>0</v>
      </c>
      <c r="T135" s="168">
        <f>IF(T109=5,IF(T122=1,1,0),0)</f>
        <v>0</v>
      </c>
      <c r="U135" s="115">
        <f>IF(U109=5,IF(U122=1,1,0),0)</f>
        <v>0</v>
      </c>
      <c r="W135" s="168">
        <f>IF(W109=5,IF(W122=1,1,0),0)</f>
        <v>0</v>
      </c>
      <c r="X135" s="115">
        <f>IF(X109=5,IF(X122=1,1,0),0)</f>
        <v>0</v>
      </c>
      <c r="Z135" s="168">
        <f>IF(Z109=5,IF(Z122=1,1,0),0)</f>
        <v>0</v>
      </c>
      <c r="AA135" s="115">
        <f>IF(AA109=5,IF(AA122=1,1,0),0)</f>
        <v>0</v>
      </c>
      <c r="AC135" s="168">
        <f>IF(AC109=5,IF(AC122=1,1,0),0)</f>
        <v>0</v>
      </c>
      <c r="AD135" s="115">
        <f>IF(AD109=5,IF(AD122=1,1,0),0)</f>
        <v>0</v>
      </c>
      <c r="AF135" s="168">
        <f>IF(AF109=5,IF(AF122=1,1,0),0)</f>
        <v>0</v>
      </c>
      <c r="AG135" s="115">
        <f>SUM(B135:AF135)</f>
        <v>0</v>
      </c>
      <c r="AH135" s="115">
        <f>AG141-AG135</f>
        <v>0</v>
      </c>
      <c r="AW135" s="166"/>
    </row>
    <row r="136" spans="1:49" s="115" customFormat="1" ht="38.25" hidden="1" customHeight="1">
      <c r="A136" s="167"/>
      <c r="D136" s="168"/>
      <c r="G136" s="168"/>
      <c r="J136" s="168"/>
      <c r="K136" s="168"/>
      <c r="N136" s="168"/>
      <c r="Q136" s="168"/>
      <c r="T136" s="168"/>
      <c r="W136" s="168"/>
      <c r="Z136" s="168"/>
      <c r="AC136" s="168"/>
      <c r="AF136" s="168"/>
      <c r="AG136" s="167" t="s">
        <v>217</v>
      </c>
      <c r="AW136" s="166"/>
    </row>
    <row r="137" spans="1:49" s="115" customFormat="1" ht="12.75" hidden="1" customHeight="1">
      <c r="A137" s="115" t="s">
        <v>43</v>
      </c>
      <c r="B137" s="115">
        <f>IF(B109=1,IF(C122=1,1,0),0)</f>
        <v>0</v>
      </c>
      <c r="D137" s="168">
        <f>IF(D109=1,IF(C122=1,1,0),0)</f>
        <v>0</v>
      </c>
      <c r="E137" s="115">
        <f>IF(E109=1,IF(F122=1,1,0),0)</f>
        <v>1</v>
      </c>
      <c r="G137" s="168">
        <f>IF(G109=1,IF(F122=1,1,0),0)</f>
        <v>0</v>
      </c>
      <c r="H137" s="115">
        <f>IF(H109=1,IF(I122=1,1,0),0)</f>
        <v>0</v>
      </c>
      <c r="J137" s="168">
        <f>IF(J109=1,IF(I122=1,1,0),0)</f>
        <v>0</v>
      </c>
      <c r="K137" s="168"/>
      <c r="L137" s="115">
        <f>IF(L109=1,IF(M122=1,1,0),0)</f>
        <v>1</v>
      </c>
      <c r="N137" s="168">
        <f>IF(N109=1,IF(M122=1,1,0),0)</f>
        <v>0</v>
      </c>
      <c r="O137" s="115">
        <f>IF(O109=1,IF(P122=1,1,0),0)</f>
        <v>0</v>
      </c>
      <c r="Q137" s="168">
        <f>IF(Q109=1,IF(P122=1,1,0),0)</f>
        <v>0</v>
      </c>
      <c r="R137" s="115">
        <f>IF(R109=1,IF(S122=1,1,0),0)</f>
        <v>1</v>
      </c>
      <c r="T137" s="168">
        <f>IF(T109=1,IF(S122=1,1,0),0)</f>
        <v>0</v>
      </c>
      <c r="U137" s="115">
        <f>IF(U109=1,IF(V122=1,1,0),0)</f>
        <v>0</v>
      </c>
      <c r="W137" s="168">
        <f>IF(W109=1,IF(V122=1,1,0),0)</f>
        <v>0</v>
      </c>
      <c r="X137" s="115">
        <f>IF(X109=1,IF(Y122=1,1,0),0)</f>
        <v>0</v>
      </c>
      <c r="Z137" s="168">
        <f>IF(Z109=1,IF(Y122=1,1,0),0)</f>
        <v>0</v>
      </c>
      <c r="AA137" s="115">
        <f>IF(AA109=1,IF(AB122=1,1,0),0)</f>
        <v>0</v>
      </c>
      <c r="AC137" s="168">
        <f>IF(AC109=1,IF(AB122=1,1,0),0)</f>
        <v>0</v>
      </c>
      <c r="AD137" s="115">
        <f>IF(AD109=1,IF(AE122=1,1,0),0)</f>
        <v>0</v>
      </c>
      <c r="AF137" s="168">
        <f>IF(AF109=1,IF(AE122=1,1,0),0)</f>
        <v>0</v>
      </c>
      <c r="AG137" s="115">
        <f>SUM(B137:AF137)</f>
        <v>3</v>
      </c>
      <c r="AW137" s="166"/>
    </row>
    <row r="138" spans="1:49" s="115" customFormat="1" ht="12.75" hidden="1" customHeight="1">
      <c r="A138" s="115" t="s">
        <v>44</v>
      </c>
      <c r="B138" s="115">
        <f>IF(B109=2,IF(C122=1,1,0),0)</f>
        <v>1</v>
      </c>
      <c r="D138" s="168">
        <f>IF(D109=2,IF(C122=1,1,0),0)</f>
        <v>0</v>
      </c>
      <c r="E138" s="115">
        <f>IF(E109=2,IF(F122=1,1,0),0)</f>
        <v>0</v>
      </c>
      <c r="G138" s="168">
        <f>IF(G109=2,IF(F122=1,1,0),0)</f>
        <v>0</v>
      </c>
      <c r="H138" s="115">
        <f>IF(H109=2,IF(I122=1,1,0),0)</f>
        <v>1</v>
      </c>
      <c r="J138" s="168">
        <f>IF(J109=2,IF(I122=1,1,0),0)</f>
        <v>0</v>
      </c>
      <c r="K138" s="168"/>
      <c r="L138" s="115">
        <f>IF(L109=2,IF(M122=1,1,0),0)</f>
        <v>0</v>
      </c>
      <c r="N138" s="168">
        <f>IF(N109=2,IF(M122=1,1,0),0)</f>
        <v>0</v>
      </c>
      <c r="O138" s="115">
        <f>IF(O109=2,IF(P122=1,1,0),0)</f>
        <v>0</v>
      </c>
      <c r="Q138" s="168">
        <f>IF(Q109=2,IF(P122=1,1,0),0)</f>
        <v>0</v>
      </c>
      <c r="R138" s="115">
        <f>IF(R109=2,IF(S122=1,1,0),0)</f>
        <v>0</v>
      </c>
      <c r="T138" s="168">
        <f>IF(T109=2,IF(S122=1,1,0),0)</f>
        <v>1</v>
      </c>
      <c r="U138" s="115">
        <f>IF(U109=2,IF(V122=1,1,0),0)</f>
        <v>0</v>
      </c>
      <c r="W138" s="168">
        <f>IF(W109=2,IF(V122=1,1,0),0)</f>
        <v>0</v>
      </c>
      <c r="X138" s="115">
        <f>IF(X109=2,IF(Y122=1,1,0),0)</f>
        <v>0</v>
      </c>
      <c r="Z138" s="168">
        <f>IF(Z109=2,IF(Y122=1,1,0),0)</f>
        <v>0</v>
      </c>
      <c r="AA138" s="115">
        <f>IF(AA109=2,IF(AB122=1,1,0),0)</f>
        <v>0</v>
      </c>
      <c r="AC138" s="168">
        <f>IF(AC109=2,IF(AB122=1,1,0),0)</f>
        <v>0</v>
      </c>
      <c r="AD138" s="115">
        <f>IF(AD109=2,IF(AE122=1,1,0),0)</f>
        <v>0</v>
      </c>
      <c r="AF138" s="168">
        <f>IF(AF109=2,IF(AE122=1,1,0),0)</f>
        <v>0</v>
      </c>
      <c r="AG138" s="115">
        <f>SUM(B138:AF138)</f>
        <v>3</v>
      </c>
      <c r="AW138" s="166"/>
    </row>
    <row r="139" spans="1:49" s="115" customFormat="1" ht="12.75" hidden="1" customHeight="1">
      <c r="A139" s="115" t="s">
        <v>45</v>
      </c>
      <c r="B139" s="115">
        <f>IF(B109=3,IF(C122=1,1,0),0)</f>
        <v>0</v>
      </c>
      <c r="D139" s="168">
        <f>IF(D109=3,IF(C122=1,1,0),0)</f>
        <v>1</v>
      </c>
      <c r="E139" s="115">
        <f>IF(E109=3,IF(F122=1,1,0),0)</f>
        <v>0</v>
      </c>
      <c r="G139" s="168">
        <f>IF(G109=3,IF(F122=1,1,0),0)</f>
        <v>0</v>
      </c>
      <c r="H139" s="115">
        <f>IF(H109=3,IF(I122=1,1,0),0)</f>
        <v>0</v>
      </c>
      <c r="J139" s="168">
        <f>IF(J109=3,IF(I122=1,1,0),0)</f>
        <v>0</v>
      </c>
      <c r="K139" s="168"/>
      <c r="L139" s="115">
        <f>IF(L109=3,IF(M122=1,1,0),0)</f>
        <v>0</v>
      </c>
      <c r="N139" s="168">
        <f>IF(N109=3,IF(M122=1,1,0),0)</f>
        <v>1</v>
      </c>
      <c r="O139" s="115">
        <f>IF(O109=3,IF(P122=1,1,0),0)</f>
        <v>1</v>
      </c>
      <c r="Q139" s="168">
        <f>IF(Q109=3,IF(P122=1,1,0),0)</f>
        <v>0</v>
      </c>
      <c r="R139" s="115">
        <f>IF(R109=3,IF(S122=1,1,0),0)</f>
        <v>0</v>
      </c>
      <c r="T139" s="168">
        <f>IF(T109=3,IF(S122=1,1,0),0)</f>
        <v>0</v>
      </c>
      <c r="U139" s="115">
        <f>IF(U109=3,IF(V122=1,1,0),0)</f>
        <v>0</v>
      </c>
      <c r="W139" s="168">
        <f>IF(W109=3,IF(V122=1,1,0),0)</f>
        <v>0</v>
      </c>
      <c r="X139" s="115">
        <f>IF(X109=3,IF(Y122=1,1,0),0)</f>
        <v>0</v>
      </c>
      <c r="Z139" s="168">
        <f>IF(Z109=3,IF(Y122=1,1,0),0)</f>
        <v>0</v>
      </c>
      <c r="AA139" s="115">
        <f>IF(AA109=3,IF(AB122=1,1,0),0)</f>
        <v>0</v>
      </c>
      <c r="AC139" s="168">
        <f>IF(AC109=3,IF(AB122=1,1,0),0)</f>
        <v>0</v>
      </c>
      <c r="AD139" s="115">
        <f>IF(AD109=3,IF(AE122=1,1,0),0)</f>
        <v>0</v>
      </c>
      <c r="AF139" s="168">
        <f>IF(AF109=3,IF(AE122=1,1,0),0)</f>
        <v>0</v>
      </c>
      <c r="AG139" s="115">
        <f>SUM(B139:AF139)</f>
        <v>3</v>
      </c>
      <c r="AW139" s="166"/>
    </row>
    <row r="140" spans="1:49" s="115" customFormat="1" ht="12.75" hidden="1" customHeight="1">
      <c r="A140" s="115" t="s">
        <v>46</v>
      </c>
      <c r="B140" s="115">
        <f>IF(B109=4,IF(C122=1,1,0),0)</f>
        <v>0</v>
      </c>
      <c r="D140" s="168">
        <f>IF(D109=4,IF(C122=1,1,0),0)</f>
        <v>0</v>
      </c>
      <c r="E140" s="115">
        <f>IF(E109=4,IF(F122=1,1,0),0)</f>
        <v>0</v>
      </c>
      <c r="G140" s="168">
        <f>IF(G109=4,IF(F122=1,1,0),0)</f>
        <v>1</v>
      </c>
      <c r="H140" s="115">
        <f>IF(H109=4,IF(I122=1,1,0),0)</f>
        <v>0</v>
      </c>
      <c r="J140" s="168">
        <f>IF(J109=4,IF(I122=1,1,0),0)</f>
        <v>1</v>
      </c>
      <c r="K140" s="168"/>
      <c r="L140" s="115">
        <f>IF(L109=4,IF(M122=1,1,0),0)</f>
        <v>0</v>
      </c>
      <c r="N140" s="168">
        <f>IF(N109=4,IF(M122=1,1,0),0)</f>
        <v>0</v>
      </c>
      <c r="O140" s="115">
        <f>IF(O109=4,IF(P122=1,1,0),0)</f>
        <v>0</v>
      </c>
      <c r="Q140" s="168">
        <f>IF(Q109=4,IF(P122=1,1,0),0)</f>
        <v>1</v>
      </c>
      <c r="R140" s="115">
        <f>IF(R109=4,IF(S122=1,1,0),0)</f>
        <v>0</v>
      </c>
      <c r="T140" s="168">
        <f>IF(T109=4,IF(S122=1,1,0),0)</f>
        <v>0</v>
      </c>
      <c r="U140" s="115">
        <f>IF(U109=4,IF(V122=1,1,0),0)</f>
        <v>0</v>
      </c>
      <c r="W140" s="168">
        <f>IF(W109=4,IF(V122=1,1,0),0)</f>
        <v>0</v>
      </c>
      <c r="X140" s="115">
        <f>IF(X109=4,IF(Y122=1,1,0),0)</f>
        <v>0</v>
      </c>
      <c r="Z140" s="168">
        <f>IF(Z109=4,IF(Y122=1,1,0),0)</f>
        <v>0</v>
      </c>
      <c r="AA140" s="115">
        <f>IF(AA109=4,IF(AB122=1,1,0),0)</f>
        <v>0</v>
      </c>
      <c r="AC140" s="168">
        <f>IF(AC109=4,IF(AB122=1,1,0),0)</f>
        <v>0</v>
      </c>
      <c r="AD140" s="115">
        <f>IF(AD109=4,IF(AE122=1,1,0),0)</f>
        <v>0</v>
      </c>
      <c r="AF140" s="168">
        <f>IF(AF109=4,IF(AE122=1,1,0),0)</f>
        <v>0</v>
      </c>
      <c r="AG140" s="115">
        <f>SUM(B140:AF140)</f>
        <v>3</v>
      </c>
      <c r="AW140" s="166"/>
    </row>
    <row r="141" spans="1:49" s="115" customFormat="1" ht="12.75" hidden="1" customHeight="1">
      <c r="A141" s="115" t="s">
        <v>47</v>
      </c>
      <c r="B141" s="115">
        <f>IF(B109=5,IF(C122=1,1,0),0)</f>
        <v>0</v>
      </c>
      <c r="D141" s="168">
        <f>IF(D109=5,IF(C122=1,1,0),0)</f>
        <v>0</v>
      </c>
      <c r="E141" s="115">
        <f>IF(E109=5,IF(F122=1,1,0),0)</f>
        <v>0</v>
      </c>
      <c r="G141" s="168">
        <f>IF(G109=5,IF(F122=1,1,0),0)</f>
        <v>0</v>
      </c>
      <c r="H141" s="115">
        <f>IF(H109=5,IF(I122=1,1,0),0)</f>
        <v>0</v>
      </c>
      <c r="J141" s="168">
        <f>IF(J109=5,IF(I122=1,1,0),0)</f>
        <v>0</v>
      </c>
      <c r="K141" s="168"/>
      <c r="L141" s="115">
        <f>IF(L109=5,IF(M122=1,1,0),0)</f>
        <v>0</v>
      </c>
      <c r="N141" s="168">
        <f>IF(N109=5,IF(M122=1,1,0),0)</f>
        <v>0</v>
      </c>
      <c r="O141" s="115">
        <f>IF(O109=5,IF(P122=1,1,0),0)</f>
        <v>0</v>
      </c>
      <c r="Q141" s="168">
        <f>IF(Q109=5,IF(P122=1,1,0),0)</f>
        <v>0</v>
      </c>
      <c r="R141" s="115">
        <f>IF(R109=5,IF(S122=1,1,0),0)</f>
        <v>0</v>
      </c>
      <c r="T141" s="168">
        <f>IF(T109=5,IF(S122=1,1,0),0)</f>
        <v>0</v>
      </c>
      <c r="U141" s="115">
        <f>IF(U109=5,IF(V122=1,1,0),0)</f>
        <v>0</v>
      </c>
      <c r="W141" s="168">
        <f>IF(W109=5,IF(V122=1,1,0),0)</f>
        <v>0</v>
      </c>
      <c r="X141" s="115">
        <f>IF(X109=5,IF(Y122=1,1,0),0)</f>
        <v>0</v>
      </c>
      <c r="Z141" s="168">
        <f>IF(Z109=5,IF(Y122=1,1,0),0)</f>
        <v>0</v>
      </c>
      <c r="AA141" s="115">
        <f>IF(AA109=5,IF(AB122=1,1,0),0)</f>
        <v>0</v>
      </c>
      <c r="AC141" s="168">
        <f>IF(AC109=5,IF(AB122=1,1,0),0)</f>
        <v>0</v>
      </c>
      <c r="AD141" s="115">
        <f>IF(AD109=5,IF(AE122=1,1,0),0)</f>
        <v>0</v>
      </c>
      <c r="AF141" s="168">
        <f>IF(AF109=5,IF(AE122=1,1,0),0)</f>
        <v>0</v>
      </c>
      <c r="AG141" s="115">
        <f>SUM(B141:AF141)</f>
        <v>0</v>
      </c>
      <c r="AW141" s="166"/>
    </row>
    <row r="142" spans="1:49" s="115" customFormat="1" ht="38.25" hidden="1" customHeight="1">
      <c r="A142" s="167"/>
      <c r="D142" s="168"/>
      <c r="G142" s="168"/>
      <c r="J142" s="168"/>
      <c r="K142" s="168"/>
      <c r="N142" s="168"/>
      <c r="Q142" s="168"/>
      <c r="T142" s="168"/>
      <c r="W142" s="168"/>
      <c r="Z142" s="168"/>
      <c r="AC142" s="168"/>
      <c r="AF142" s="168"/>
      <c r="AG142" s="167" t="s">
        <v>218</v>
      </c>
      <c r="AH142" s="392"/>
      <c r="AI142" s="392"/>
      <c r="AJ142" s="392"/>
      <c r="AK142" s="392"/>
      <c r="AL142" s="392"/>
      <c r="AW142" s="166"/>
    </row>
    <row r="143" spans="1:49" s="115" customFormat="1" ht="12.75" hidden="1" customHeight="1">
      <c r="A143" s="115" t="s">
        <v>43</v>
      </c>
      <c r="B143" s="115">
        <f>IF(B109=1,B129,0)</f>
        <v>0</v>
      </c>
      <c r="D143" s="168">
        <f>IF(D109=1,B129,0)</f>
        <v>0</v>
      </c>
      <c r="E143" s="115">
        <f>IF(E109=1,E129,0)</f>
        <v>30</v>
      </c>
      <c r="G143" s="168">
        <f>IF(G109=1,E129,0)</f>
        <v>0</v>
      </c>
      <c r="H143" s="115">
        <f>IF(H109=1,H129,0)</f>
        <v>0</v>
      </c>
      <c r="J143" s="168">
        <f>IF(J109=1,H129,0)</f>
        <v>0</v>
      </c>
      <c r="K143" s="168"/>
      <c r="L143" s="115">
        <f>IF(L109=1,L129,0)</f>
        <v>27</v>
      </c>
      <c r="N143" s="168">
        <f>IF(N109=1,L129,0)</f>
        <v>0</v>
      </c>
      <c r="O143" s="115">
        <f>IF(O109=1,O129,0)</f>
        <v>0</v>
      </c>
      <c r="Q143" s="168">
        <f>IF(Q109=1,O129,0)</f>
        <v>0</v>
      </c>
      <c r="R143" s="115">
        <f>IF(R109=1,R129,0)</f>
        <v>20</v>
      </c>
      <c r="T143" s="168">
        <f>IF(T109=1,R129,0)</f>
        <v>0</v>
      </c>
      <c r="U143" s="115">
        <f>IF(U109=1,U129,0)</f>
        <v>0</v>
      </c>
      <c r="W143" s="168">
        <f>IF(W109=1,U129,0)</f>
        <v>0</v>
      </c>
      <c r="X143" s="115">
        <f>IF(X109=1,X129,0)</f>
        <v>0</v>
      </c>
      <c r="Z143" s="168">
        <f>IF(Z109=1,X129,0)</f>
        <v>0</v>
      </c>
      <c r="AA143" s="115">
        <f>IF(AA109=1,AA129,0)</f>
        <v>0</v>
      </c>
      <c r="AC143" s="168">
        <f>IF(AC109=1,AA129,0)</f>
        <v>0</v>
      </c>
      <c r="AD143" s="115">
        <f>IF(AD109=1,AD129,0)</f>
        <v>0</v>
      </c>
      <c r="AF143" s="168">
        <f>IF(AF109=1,AD129,0)</f>
        <v>0</v>
      </c>
      <c r="AG143" s="115">
        <f>SUM(B143:AF143)</f>
        <v>77</v>
      </c>
      <c r="AW143" s="166"/>
    </row>
    <row r="144" spans="1:49" s="115" customFormat="1" ht="12.75" hidden="1" customHeight="1">
      <c r="A144" s="115" t="s">
        <v>44</v>
      </c>
      <c r="B144" s="115">
        <f>IF(B109=2,B129,0)</f>
        <v>20</v>
      </c>
      <c r="D144" s="168">
        <f>IF(D109=2,B129,0)</f>
        <v>0</v>
      </c>
      <c r="E144" s="115">
        <f>IF(E109=2,E129,0)</f>
        <v>0</v>
      </c>
      <c r="G144" s="168">
        <f>IF(G109=2,E129,0)</f>
        <v>0</v>
      </c>
      <c r="H144" s="115">
        <f>IF(H109=2,H129,0)</f>
        <v>20</v>
      </c>
      <c r="J144" s="168">
        <f>IF(J109=2,H129,0)</f>
        <v>0</v>
      </c>
      <c r="K144" s="168"/>
      <c r="L144" s="115">
        <f>IF(L109=2,L129,0)</f>
        <v>0</v>
      </c>
      <c r="N144" s="168">
        <f>IF(N109=2,L129,0)</f>
        <v>0</v>
      </c>
      <c r="O144" s="115">
        <f>IF(O109=2,O129,0)</f>
        <v>0</v>
      </c>
      <c r="Q144" s="168">
        <f>IF(Q109=2,O129,0)</f>
        <v>0</v>
      </c>
      <c r="R144" s="115">
        <f>IF(R109=2,R129,0)</f>
        <v>0</v>
      </c>
      <c r="T144" s="168">
        <f>IF(T109=2,R129,0)</f>
        <v>20</v>
      </c>
      <c r="U144" s="115">
        <f>IF(U109=2,U129,0)</f>
        <v>0</v>
      </c>
      <c r="W144" s="168">
        <f>IF(W109=2,U129,0)</f>
        <v>0</v>
      </c>
      <c r="X144" s="115">
        <f>IF(X109=2,X129,0)</f>
        <v>0</v>
      </c>
      <c r="Z144" s="168">
        <f>IF(Z109=2,X129,0)</f>
        <v>0</v>
      </c>
      <c r="AA144" s="115">
        <f>IF(AA109=2,AA129,0)</f>
        <v>0</v>
      </c>
      <c r="AC144" s="168">
        <f>IF(AC109=2,AA129,0)</f>
        <v>0</v>
      </c>
      <c r="AD144" s="115">
        <f>IF(AD109=2,AD129,0)</f>
        <v>0</v>
      </c>
      <c r="AF144" s="168">
        <f>IF(AF109=2,AD129,0)</f>
        <v>0</v>
      </c>
      <c r="AG144" s="115">
        <f>SUM(B144:AF144)</f>
        <v>60</v>
      </c>
      <c r="AW144" s="166"/>
    </row>
    <row r="145" spans="1:49" s="115" customFormat="1" ht="12.75" hidden="1" customHeight="1">
      <c r="A145" s="115" t="s">
        <v>45</v>
      </c>
      <c r="B145" s="115">
        <f>IF(B109=3,B129,0)</f>
        <v>0</v>
      </c>
      <c r="D145" s="168">
        <f>IF(D109=3,B129,0)</f>
        <v>20</v>
      </c>
      <c r="E145" s="115">
        <f>IF(E109=3,E129,0)</f>
        <v>0</v>
      </c>
      <c r="G145" s="168">
        <f>IF(G109=3,E129,0)</f>
        <v>0</v>
      </c>
      <c r="H145" s="115">
        <f>IF(H109=3,H129,0)</f>
        <v>0</v>
      </c>
      <c r="J145" s="168">
        <f>IF(J109=3,H129,0)</f>
        <v>0</v>
      </c>
      <c r="K145" s="168"/>
      <c r="L145" s="115">
        <f>IF(L109=3,L129,0)</f>
        <v>0</v>
      </c>
      <c r="N145" s="168">
        <f>IF(N109=3,L129,0)</f>
        <v>27</v>
      </c>
      <c r="O145" s="115">
        <f>IF(O109=3,O129,0)</f>
        <v>22</v>
      </c>
      <c r="Q145" s="168">
        <f>IF(Q109=3,O129,0)</f>
        <v>0</v>
      </c>
      <c r="R145" s="115">
        <f>IF(R109=3,R129,0)</f>
        <v>0</v>
      </c>
      <c r="T145" s="168">
        <f>IF(T109=3,R129,0)</f>
        <v>0</v>
      </c>
      <c r="U145" s="115">
        <f>IF(U109=3,U129,0)</f>
        <v>0</v>
      </c>
      <c r="W145" s="168">
        <f>IF(W109=3,U129,0)</f>
        <v>0</v>
      </c>
      <c r="X145" s="115">
        <f>IF(X109=3,X129,0)</f>
        <v>0</v>
      </c>
      <c r="Z145" s="168">
        <f>IF(Z109=3,X129,0)</f>
        <v>0</v>
      </c>
      <c r="AA145" s="115">
        <f>IF(AA109=3,AA129,0)</f>
        <v>0</v>
      </c>
      <c r="AC145" s="168">
        <f>IF(AC109=3,AA129,0)</f>
        <v>0</v>
      </c>
      <c r="AD145" s="115">
        <f>IF(AD109=3,AD129,0)</f>
        <v>0</v>
      </c>
      <c r="AF145" s="168">
        <f>IF(AF109=3,AD129,0)</f>
        <v>0</v>
      </c>
      <c r="AG145" s="115">
        <f>SUM(B145:AF145)</f>
        <v>69</v>
      </c>
      <c r="AW145" s="166"/>
    </row>
    <row r="146" spans="1:49" s="115" customFormat="1" ht="12.75" hidden="1" customHeight="1">
      <c r="A146" s="115" t="s">
        <v>46</v>
      </c>
      <c r="B146" s="115">
        <f>IF(B109=4,B129,0)</f>
        <v>0</v>
      </c>
      <c r="D146" s="168">
        <f>IF(D109=4,B129,0)</f>
        <v>0</v>
      </c>
      <c r="E146" s="115">
        <f>IF(E109=4,E129,0)</f>
        <v>0</v>
      </c>
      <c r="G146" s="168">
        <f>IF(G109=4,E129,0)</f>
        <v>30</v>
      </c>
      <c r="H146" s="115">
        <f>IF(H109=4,H129,0)</f>
        <v>0</v>
      </c>
      <c r="J146" s="168">
        <f>IF(J109=4,H129,0)</f>
        <v>20</v>
      </c>
      <c r="K146" s="168"/>
      <c r="L146" s="115">
        <f>IF(L109=4,L129,0)</f>
        <v>0</v>
      </c>
      <c r="N146" s="168">
        <f>IF(N109=4,L129,0)</f>
        <v>0</v>
      </c>
      <c r="O146" s="115">
        <f>IF(O109=4,O129,0)</f>
        <v>0</v>
      </c>
      <c r="Q146" s="168">
        <f>IF(Q109=4,O129,0)</f>
        <v>22</v>
      </c>
      <c r="R146" s="115">
        <f>IF(R109=4,R129,0)</f>
        <v>0</v>
      </c>
      <c r="T146" s="168">
        <f>IF(T109=4,R129,0)</f>
        <v>0</v>
      </c>
      <c r="U146" s="115">
        <f>IF(U109=4,U129,0)</f>
        <v>0</v>
      </c>
      <c r="W146" s="168">
        <f>IF(W109=4,U129,0)</f>
        <v>0</v>
      </c>
      <c r="X146" s="115">
        <f>IF(X109=4,X129,0)</f>
        <v>0</v>
      </c>
      <c r="Z146" s="168">
        <f>IF(Z109=4,X129,0)</f>
        <v>0</v>
      </c>
      <c r="AA146" s="115">
        <f>IF(AA109=4,AA129,0)</f>
        <v>0</v>
      </c>
      <c r="AC146" s="168">
        <f>IF(AC109=4,AA129,0)</f>
        <v>0</v>
      </c>
      <c r="AD146" s="115">
        <f>IF(AD109=4,AD129,0)</f>
        <v>0</v>
      </c>
      <c r="AF146" s="168">
        <f>IF(AF109=4,AD129,0)</f>
        <v>0</v>
      </c>
      <c r="AG146" s="115">
        <f>SUM(B146:AF146)</f>
        <v>72</v>
      </c>
      <c r="AW146" s="166"/>
    </row>
    <row r="147" spans="1:49" s="115" customFormat="1" ht="12.75" hidden="1" customHeight="1">
      <c r="A147" s="115" t="s">
        <v>47</v>
      </c>
      <c r="B147" s="115">
        <f>IF(B109=5,B129,0)</f>
        <v>0</v>
      </c>
      <c r="D147" s="168">
        <f>IF(D109=5,B129,0)</f>
        <v>0</v>
      </c>
      <c r="E147" s="115">
        <f>IF(E109=5,E129,0)</f>
        <v>0</v>
      </c>
      <c r="G147" s="168">
        <f>IF(G109=5,E129,0)</f>
        <v>0</v>
      </c>
      <c r="H147" s="115">
        <f>IF(H109=5,H129,0)</f>
        <v>0</v>
      </c>
      <c r="J147" s="168">
        <f>IF(J109=5,H129,0)</f>
        <v>0</v>
      </c>
      <c r="K147" s="168"/>
      <c r="L147" s="115">
        <f>IF(L109=5,L129,0)</f>
        <v>0</v>
      </c>
      <c r="N147" s="168">
        <f>IF(N109=5,L129,0)</f>
        <v>0</v>
      </c>
      <c r="O147" s="115">
        <f>IF(O109=5,O129,0)</f>
        <v>0</v>
      </c>
      <c r="Q147" s="168">
        <f>IF(Q109=5,O129,0)</f>
        <v>0</v>
      </c>
      <c r="R147" s="115">
        <f>IF(R109=5,R129,0)</f>
        <v>0</v>
      </c>
      <c r="T147" s="168">
        <f>IF(T109=5,R129,0)</f>
        <v>0</v>
      </c>
      <c r="U147" s="115">
        <f>IF(U109=5,U129,0)</f>
        <v>0</v>
      </c>
      <c r="W147" s="168">
        <f>IF(W109=5,U129,0)</f>
        <v>0</v>
      </c>
      <c r="X147" s="115">
        <f>IF(X109=5,X129,0)</f>
        <v>0</v>
      </c>
      <c r="Z147" s="168">
        <f>IF(Z109=5,X129,0)</f>
        <v>0</v>
      </c>
      <c r="AA147" s="115">
        <f>IF(AA109=5,AA129,0)</f>
        <v>0</v>
      </c>
      <c r="AC147" s="168">
        <f>IF(AC109=5,AA129,0)</f>
        <v>0</v>
      </c>
      <c r="AD147" s="115">
        <f>IF(AD109=5,AD129,0)</f>
        <v>0</v>
      </c>
      <c r="AF147" s="168">
        <f>IF(AF109=5,AD129,0)</f>
        <v>0</v>
      </c>
      <c r="AG147" s="115">
        <f>SUM(B147:AF147)</f>
        <v>0</v>
      </c>
      <c r="AW147" s="166"/>
    </row>
    <row r="148" spans="1:49" s="115" customFormat="1" ht="38.25" hidden="1" customHeight="1">
      <c r="A148" s="115" t="s">
        <v>48</v>
      </c>
      <c r="D148" s="168"/>
      <c r="G148" s="168"/>
      <c r="J148" s="168"/>
      <c r="K148" s="168"/>
      <c r="N148" s="168"/>
      <c r="Q148" s="168"/>
      <c r="T148" s="168"/>
      <c r="W148" s="168"/>
      <c r="Z148" s="168"/>
      <c r="AC148" s="168"/>
      <c r="AF148" s="168"/>
      <c r="AG148" s="167" t="s">
        <v>219</v>
      </c>
      <c r="AH148" s="115" t="s">
        <v>220</v>
      </c>
      <c r="AW148" s="166"/>
    </row>
    <row r="149" spans="1:49" s="115" customFormat="1" ht="12.75" hidden="1" customHeight="1">
      <c r="A149" s="115" t="s">
        <v>38</v>
      </c>
      <c r="B149" s="115">
        <f>IF(B109=1,SUMIF(B116:B120,"&gt;0"),0)</f>
        <v>0</v>
      </c>
      <c r="D149" s="168">
        <f>IF(D109=1,SUMIF(D116:D120,"&gt;0"),0)</f>
        <v>0</v>
      </c>
      <c r="E149" s="115">
        <f>IF(E109=1,SUMIF(E116:E120,"&gt;0"),0)</f>
        <v>1</v>
      </c>
      <c r="G149" s="168">
        <f>IF(G109=1,SUMIF(G116:G120,"&gt;0"),0)</f>
        <v>0</v>
      </c>
      <c r="H149" s="115">
        <f>IF(H109=1,SUMIF(H116:H120,"&gt;0"),0)</f>
        <v>0</v>
      </c>
      <c r="J149" s="168">
        <f>IF(J109=1,SUMIF(J116:J120,"&gt;0"),0)</f>
        <v>0</v>
      </c>
      <c r="K149" s="168"/>
      <c r="L149" s="115">
        <f>IF(L109=1,SUMIF(L116:L120,"&gt;0"),0)</f>
        <v>1</v>
      </c>
      <c r="N149" s="168">
        <f>IF(N109=1,SUMIF(N116:N120,"&gt;0"),0)</f>
        <v>0</v>
      </c>
      <c r="O149" s="115">
        <f>IF(O109=1,SUMIF(O116:O120,"&gt;0"),0)</f>
        <v>0</v>
      </c>
      <c r="Q149" s="168">
        <f>IF(Q109=1,SUMIF(Q116:Q120,"&gt;0"),0)</f>
        <v>0</v>
      </c>
      <c r="R149" s="115">
        <f>IF(R109=1,SUMIF(R116:R120,"&gt;0"),0)</f>
        <v>1</v>
      </c>
      <c r="T149" s="168">
        <f>IF(T109=1,SUMIF(T116:T120,"&gt;0"),0)</f>
        <v>0</v>
      </c>
      <c r="U149" s="115">
        <f>IF(U109=1,SUMIF(U116:U120,"&gt;0"),0)</f>
        <v>0</v>
      </c>
      <c r="W149" s="168">
        <f>IF(W109=1,SUMIF(W116:W120,"&gt;0"),0)</f>
        <v>0</v>
      </c>
      <c r="X149" s="115">
        <f>IF(X109=1,SUMIF(X116:X120,"&gt;0"),0)</f>
        <v>0</v>
      </c>
      <c r="Z149" s="168">
        <f>IF(Z109=1,SUMIF(Z116:Z120,"&gt;0"),0)</f>
        <v>0</v>
      </c>
      <c r="AA149" s="115">
        <f>IF(AA109=1,SUMIF(AA116:AA120,"&gt;0"),0)</f>
        <v>0</v>
      </c>
      <c r="AC149" s="168">
        <f>IF(AC109=1,SUMIF(AC116:AC120,"&gt;0"),0)</f>
        <v>0</v>
      </c>
      <c r="AD149" s="115">
        <f>IF(AD109=1,SUMIF(AD116:AD120,"&gt;0"),0)</f>
        <v>0</v>
      </c>
      <c r="AF149" s="168">
        <f>IF(AF109=1,SUMIF(AF116:AF120,"&gt;0"),0)</f>
        <v>0</v>
      </c>
      <c r="AG149" s="115">
        <f>SUM(B149:AF149)</f>
        <v>3</v>
      </c>
      <c r="AH149" s="115">
        <f>AG157-AG149</f>
        <v>0</v>
      </c>
      <c r="AW149" s="166"/>
    </row>
    <row r="150" spans="1:49" s="115" customFormat="1" ht="12.75" hidden="1" customHeight="1">
      <c r="A150" s="115" t="s">
        <v>39</v>
      </c>
      <c r="B150" s="115">
        <f>IF(B109=2,SUMIF(B116:B120,"&gt;0"),0)</f>
        <v>1</v>
      </c>
      <c r="D150" s="168">
        <f>IF(D109=2,SUMIF(D116:D120,"&gt;0"),0)</f>
        <v>0</v>
      </c>
      <c r="E150" s="115">
        <f>IF(E109=2,SUMIF(E116:E120,"&gt;0"),0)</f>
        <v>0</v>
      </c>
      <c r="G150" s="168">
        <f>IF(G109=2,SUMIF(G116:G120,"&gt;0"),0)</f>
        <v>0</v>
      </c>
      <c r="H150" s="115">
        <f>IF(H109=2,SUMIF(H116:H120,"&gt;0"),0)</f>
        <v>0</v>
      </c>
      <c r="J150" s="168">
        <f>IF(J109=2,SUMIF(J116:J120,"&gt;0"),0)</f>
        <v>0</v>
      </c>
      <c r="K150" s="168"/>
      <c r="L150" s="115">
        <f>IF(L109=2,SUMIF(L116:L120,"&gt;0"),0)</f>
        <v>0</v>
      </c>
      <c r="N150" s="168">
        <f>IF(N109=2,SUMIF(N116:N120,"&gt;0"),0)</f>
        <v>0</v>
      </c>
      <c r="O150" s="115">
        <f>IF(O109=2,SUMIF(O116:O120,"&gt;0"),0)</f>
        <v>0</v>
      </c>
      <c r="Q150" s="168">
        <f>IF(Q109=2,SUMIF(Q116:Q120,"&gt;0"),0)</f>
        <v>0</v>
      </c>
      <c r="R150" s="115">
        <f>IF(R109=2,SUMIF(R116:R120,"&gt;0"),0)</f>
        <v>0</v>
      </c>
      <c r="T150" s="168">
        <f>IF(T109=2,SUMIF(T116:T120,"&gt;0"),0)</f>
        <v>0</v>
      </c>
      <c r="U150" s="115">
        <f>IF(U109=2,SUMIF(U116:U120,"&gt;0"),0)</f>
        <v>0</v>
      </c>
      <c r="W150" s="168">
        <f>IF(W109=2,SUMIF(W116:W120,"&gt;0"),0)</f>
        <v>0</v>
      </c>
      <c r="X150" s="115">
        <f>IF(X109=2,SUMIF(X116:X120,"&gt;0"),0)</f>
        <v>0</v>
      </c>
      <c r="Z150" s="168">
        <f>IF(Z109=2,SUMIF(Z116:Z120,"&gt;0"),0)</f>
        <v>0</v>
      </c>
      <c r="AA150" s="115">
        <f>IF(AA109=2,SUMIF(AA116:AA120,"&gt;0"),0)</f>
        <v>0</v>
      </c>
      <c r="AC150" s="168">
        <f>IF(AC109=2,SUMIF(AC116:AC120,"&gt;0"),0)</f>
        <v>0</v>
      </c>
      <c r="AD150" s="115">
        <f>IF(AD109=2,SUMIF(AD116:AD120,"&gt;0"),0)</f>
        <v>0</v>
      </c>
      <c r="AF150" s="168">
        <f>IF(AF109=2,SUMIF(AF116:AF120,"&gt;0"),0)</f>
        <v>0</v>
      </c>
      <c r="AG150" s="115">
        <f>SUM(B150:AF150)</f>
        <v>1</v>
      </c>
      <c r="AH150" s="115">
        <f>AG158-AG150</f>
        <v>2</v>
      </c>
      <c r="AW150" s="166"/>
    </row>
    <row r="151" spans="1:49" s="115" customFormat="1" ht="12.75" hidden="1" customHeight="1">
      <c r="A151" s="115" t="s">
        <v>40</v>
      </c>
      <c r="B151" s="115">
        <f>IF(B109=3,SUMIF(B116:B120,"&gt;0"),0)</f>
        <v>0</v>
      </c>
      <c r="D151" s="168">
        <f>IF(D109=3,SUMIF(D116:D120,"&gt;0"),0)</f>
        <v>0</v>
      </c>
      <c r="E151" s="115">
        <f>IF(E109=3,SUMIF(E116:E120,"&gt;0"),0)</f>
        <v>0</v>
      </c>
      <c r="G151" s="168">
        <f>IF(G109=3,SUMIF(G116:G120,"&gt;0"),0)</f>
        <v>0</v>
      </c>
      <c r="H151" s="115">
        <f>IF(H109=3,SUMIF(H116:H120,"&gt;0"),0)</f>
        <v>0</v>
      </c>
      <c r="J151" s="168">
        <f>IF(J109=3,SUMIF(J116:J120,"&gt;0"),0)</f>
        <v>0</v>
      </c>
      <c r="K151" s="168"/>
      <c r="L151" s="115">
        <f>IF(L109=3,SUMIF(L116:L120,"&gt;0"),0)</f>
        <v>0</v>
      </c>
      <c r="N151" s="168">
        <f>IF(N109=3,SUMIF(N116:N120,"&gt;0"),0)</f>
        <v>0</v>
      </c>
      <c r="O151" s="115">
        <f>IF(O109=3,SUMIF(O116:O120,"&gt;0"),0)</f>
        <v>0</v>
      </c>
      <c r="Q151" s="168">
        <f>IF(Q109=3,SUMIF(Q116:Q120,"&gt;0"),0)</f>
        <v>0</v>
      </c>
      <c r="R151" s="115">
        <f>IF(R109=3,SUMIF(R116:R120,"&gt;0"),0)</f>
        <v>0</v>
      </c>
      <c r="T151" s="168">
        <f>IF(T109=3,SUMIF(T116:T120,"&gt;0"),0)</f>
        <v>0</v>
      </c>
      <c r="U151" s="115">
        <f>IF(U109=3,SUMIF(U116:U120,"&gt;0"),0)</f>
        <v>0</v>
      </c>
      <c r="W151" s="168">
        <f>IF(W109=3,SUMIF(W116:W120,"&gt;0"),0)</f>
        <v>0</v>
      </c>
      <c r="X151" s="115">
        <f>IF(X109=3,SUMIF(X116:X120,"&gt;0"),0)</f>
        <v>0</v>
      </c>
      <c r="Z151" s="168">
        <f>IF(Z109=3,SUMIF(Z116:Z120,"&gt;0"),0)</f>
        <v>0</v>
      </c>
      <c r="AA151" s="115">
        <f>IF(AA109=3,SUMIF(AA116:AA120,"&gt;0"),0)</f>
        <v>0</v>
      </c>
      <c r="AC151" s="168">
        <f>IF(AC109=3,SUMIF(AC116:AC120,"&gt;0"),0)</f>
        <v>0</v>
      </c>
      <c r="AD151" s="115">
        <f>IF(AD109=3,SUMIF(AD116:AD120,"&gt;0"),0)</f>
        <v>0</v>
      </c>
      <c r="AF151" s="168">
        <f>IF(AF109=3,SUMIF(AF116:AF120,"&gt;0"),0)</f>
        <v>0</v>
      </c>
      <c r="AG151" s="115">
        <f>SUM(B151:AF151)</f>
        <v>0</v>
      </c>
      <c r="AH151" s="115">
        <f>AG159-AG151</f>
        <v>3</v>
      </c>
      <c r="AW151" s="166"/>
    </row>
    <row r="152" spans="1:49" s="115" customFormat="1" ht="12.75" hidden="1" customHeight="1">
      <c r="A152" s="115" t="s">
        <v>41</v>
      </c>
      <c r="B152" s="115">
        <f>IF(B109=4,SUMIF(B116:B120,"&gt;0"),0)</f>
        <v>0</v>
      </c>
      <c r="D152" s="168">
        <f>IF(D109=4,SUMIF(D116:D120,"&gt;0"),0)</f>
        <v>0</v>
      </c>
      <c r="E152" s="115">
        <f>IF(E109=4,SUMIF(E116:E120,"&gt;0"),0)</f>
        <v>0</v>
      </c>
      <c r="G152" s="168">
        <f>IF(G109=4,SUMIF(G116:G120,"&gt;0"),0)</f>
        <v>0</v>
      </c>
      <c r="H152" s="115">
        <f>IF(H109=4,SUMIF(H116:H120,"&gt;0"),0)</f>
        <v>0</v>
      </c>
      <c r="J152" s="168">
        <f>IF(J109=4,SUMIF(J116:J120,"&gt;0"),0)</f>
        <v>1</v>
      </c>
      <c r="K152" s="168"/>
      <c r="L152" s="115">
        <f>IF(L109=4,SUMIF(L116:L120,"&gt;0"),0)</f>
        <v>0</v>
      </c>
      <c r="N152" s="168">
        <f>IF(N109=4,SUMIF(N116:N120,"&gt;0"),0)</f>
        <v>0</v>
      </c>
      <c r="O152" s="115">
        <f>IF(O109=4,SUMIF(O116:O120,"&gt;0"),0)</f>
        <v>0</v>
      </c>
      <c r="Q152" s="168">
        <f>IF(Q109=4,SUMIF(Q116:Q120,"&gt;0"),0)</f>
        <v>1</v>
      </c>
      <c r="R152" s="115">
        <f>IF(R109=4,SUMIF(R116:R120,"&gt;0"),0)</f>
        <v>0</v>
      </c>
      <c r="T152" s="168">
        <f>IF(T109=4,SUMIF(T116:T120,"&gt;0"),0)</f>
        <v>0</v>
      </c>
      <c r="U152" s="115">
        <f>IF(U109=4,SUMIF(U116:U120,"&gt;0"),0)</f>
        <v>0</v>
      </c>
      <c r="W152" s="168">
        <f>IF(W109=4,SUMIF(W116:W120,"&gt;0"),0)</f>
        <v>0</v>
      </c>
      <c r="X152" s="115">
        <f>IF(X109=4,SUMIF(X116:X120,"&gt;0"),0)</f>
        <v>0</v>
      </c>
      <c r="Z152" s="168">
        <f>IF(Z109=4,SUMIF(Z116:Z120,"&gt;0"),0)</f>
        <v>0</v>
      </c>
      <c r="AA152" s="115">
        <f>IF(AA109=4,SUMIF(AA116:AA120,"&gt;0"),0)</f>
        <v>0</v>
      </c>
      <c r="AC152" s="168">
        <f>IF(AC109=4,SUMIF(AC116:AC120,"&gt;0"),0)</f>
        <v>0</v>
      </c>
      <c r="AD152" s="115">
        <f>IF(AD109=4,SUMIF(AD116:AD120,"&gt;0"),0)</f>
        <v>0</v>
      </c>
      <c r="AF152" s="168">
        <f>IF(AF109=4,SUMIF(AF116:AF120,"&gt;0"),0)</f>
        <v>0</v>
      </c>
      <c r="AG152" s="115">
        <f>SUM(B152:AF152)</f>
        <v>2</v>
      </c>
      <c r="AH152" s="115">
        <f>AG160-AG152</f>
        <v>1</v>
      </c>
      <c r="AW152" s="166"/>
    </row>
    <row r="153" spans="1:49" s="115" customFormat="1" ht="12.75" hidden="1" customHeight="1">
      <c r="A153" s="115" t="s">
        <v>42</v>
      </c>
      <c r="B153" s="115">
        <f>IF(B109=5,SUMIF(B116:B120,"&gt;0"),0)</f>
        <v>0</v>
      </c>
      <c r="D153" s="168">
        <f>IF(D109=5,SUMIF(D116:D120,"&gt;0"),0)</f>
        <v>0</v>
      </c>
      <c r="E153" s="115">
        <f>IF(E109=5,SUMIF(E116:E120,"&gt;0"),0)</f>
        <v>0</v>
      </c>
      <c r="G153" s="168">
        <f>IF(G109=5,SUMIF(G116:G120,"&gt;0"),0)</f>
        <v>0</v>
      </c>
      <c r="H153" s="115">
        <f>IF(H109=5,SUMIF(H116:H120,"&gt;0"),0)</f>
        <v>0</v>
      </c>
      <c r="J153" s="168">
        <f>IF(J109=5,SUMIF(J116:J120,"&gt;0"),0)</f>
        <v>0</v>
      </c>
      <c r="K153" s="168"/>
      <c r="L153" s="115">
        <f>IF(L109=5,SUMIF(L116:L120,"&gt;0"),0)</f>
        <v>0</v>
      </c>
      <c r="N153" s="168">
        <f>IF(N109=5,SUMIF(N116:N120,"&gt;0"),0)</f>
        <v>0</v>
      </c>
      <c r="O153" s="115">
        <f>IF(O109=5,SUMIF(O116:O120,"&gt;0"),0)</f>
        <v>0</v>
      </c>
      <c r="Q153" s="168">
        <f>IF(Q109=5,SUMIF(Q116:Q120,"&gt;0"),0)</f>
        <v>0</v>
      </c>
      <c r="R153" s="115">
        <f>IF(R109=5,SUMIF(R116:R120,"&gt;0"),0)</f>
        <v>0</v>
      </c>
      <c r="T153" s="168">
        <f>IF(T109=5,SUMIF(T116:T120,"&gt;0"),0)</f>
        <v>0</v>
      </c>
      <c r="U153" s="115">
        <f>IF(U109=5,SUMIF(U116:U120,"&gt;0"),0)</f>
        <v>0</v>
      </c>
      <c r="W153" s="168">
        <f>IF(W109=5,SUMIF(W116:W120,"&gt;0"),0)</f>
        <v>0</v>
      </c>
      <c r="X153" s="115">
        <f>IF(X109=5,SUMIF(X116:X120,"&gt;0"),0)</f>
        <v>0</v>
      </c>
      <c r="Z153" s="168">
        <f>IF(Z109=5,SUMIF(Z116:Z120,"&gt;0"),0)</f>
        <v>0</v>
      </c>
      <c r="AA153" s="115">
        <f>IF(AA109=5,SUMIF(AA116:AA120,"&gt;0"),0)</f>
        <v>0</v>
      </c>
      <c r="AC153" s="168">
        <f>IF(AC109=5,SUMIF(AC116:AC120,"&gt;0"),0)</f>
        <v>0</v>
      </c>
      <c r="AD153" s="115">
        <f>IF(AD109=5,SUMIF(AD116:AD120,"&gt;0"),0)</f>
        <v>0</v>
      </c>
      <c r="AF153" s="168">
        <f>IF(AF109=5,SUMIF(AF116:AF120,"&gt;0"),0)</f>
        <v>0</v>
      </c>
      <c r="AG153" s="115">
        <f>SUM(B153:AF153)</f>
        <v>0</v>
      </c>
      <c r="AH153" s="115">
        <f>AG161-AG153</f>
        <v>0</v>
      </c>
      <c r="AW153" s="166"/>
    </row>
    <row r="154" spans="1:49" s="115" customFormat="1" ht="12.75" hidden="1" customHeight="1">
      <c r="D154" s="168"/>
      <c r="G154" s="168"/>
      <c r="J154" s="168"/>
      <c r="K154" s="168"/>
      <c r="N154" s="168"/>
      <c r="Q154" s="168"/>
      <c r="T154" s="168"/>
      <c r="W154" s="168"/>
      <c r="Z154" s="168"/>
      <c r="AC154" s="168"/>
      <c r="AF154" s="168"/>
      <c r="AW154" s="166"/>
    </row>
    <row r="155" spans="1:49" s="115" customFormat="1" ht="12.75" hidden="1" customHeight="1">
      <c r="D155" s="168"/>
      <c r="G155" s="168"/>
      <c r="J155" s="168"/>
      <c r="K155" s="168"/>
      <c r="N155" s="168"/>
      <c r="Q155" s="168"/>
      <c r="T155" s="168"/>
      <c r="W155" s="168"/>
      <c r="Z155" s="168"/>
      <c r="AC155" s="168"/>
      <c r="AF155" s="168"/>
      <c r="AW155" s="166"/>
    </row>
    <row r="156" spans="1:49" s="115" customFormat="1" ht="51" hidden="1" customHeight="1">
      <c r="A156" s="167" t="s">
        <v>221</v>
      </c>
      <c r="C156" s="115">
        <f>SUMIF(B149:D153,"&gt;0")</f>
        <v>1</v>
      </c>
      <c r="D156" s="168"/>
      <c r="F156" s="115">
        <f>SUMIF(E149:G153,"&gt;0")</f>
        <v>1</v>
      </c>
      <c r="G156" s="168"/>
      <c r="I156" s="115">
        <f>SUMIF(H149:J153,"&gt;0")</f>
        <v>1</v>
      </c>
      <c r="J156" s="168"/>
      <c r="K156" s="168"/>
      <c r="M156" s="115">
        <f>SUMIF(L149:N153,"&gt;0")</f>
        <v>1</v>
      </c>
      <c r="N156" s="168"/>
      <c r="P156" s="115">
        <f>SUMIF(O149:Q153,"&gt;0")</f>
        <v>1</v>
      </c>
      <c r="Q156" s="168"/>
      <c r="S156" s="115">
        <f>SUMIF(R149:T153,"&gt;0")</f>
        <v>1</v>
      </c>
      <c r="T156" s="168"/>
      <c r="V156" s="115">
        <f>SUMIF(U149:W153,"&gt;0")</f>
        <v>0</v>
      </c>
      <c r="W156" s="168"/>
      <c r="Y156" s="115">
        <f>SUMIF(X149:Z153,"&gt;0")</f>
        <v>0</v>
      </c>
      <c r="Z156" s="168"/>
      <c r="AB156" s="115">
        <f>SUMIF(AA149:AC153,"&gt;0")</f>
        <v>0</v>
      </c>
      <c r="AC156" s="168"/>
      <c r="AE156" s="115">
        <f>SUMIF(AD149:AF153,"&gt;0")</f>
        <v>0</v>
      </c>
      <c r="AF156" s="168"/>
      <c r="AG156" s="167" t="s">
        <v>222</v>
      </c>
      <c r="AW156" s="166"/>
    </row>
    <row r="157" spans="1:49" s="115" customFormat="1" ht="12.75" hidden="1" customHeight="1">
      <c r="A157" s="115" t="s">
        <v>43</v>
      </c>
      <c r="B157" s="115">
        <f>IF(B109=1,C156,0)</f>
        <v>0</v>
      </c>
      <c r="D157" s="168">
        <f>IF(D109=1,C156,0)</f>
        <v>0</v>
      </c>
      <c r="E157" s="115">
        <f>IF(E109=1,F156,0)</f>
        <v>1</v>
      </c>
      <c r="G157" s="168">
        <f>IF(G109=1,F156,0)</f>
        <v>0</v>
      </c>
      <c r="H157" s="115">
        <f>IF(H109=1,I156,0)</f>
        <v>0</v>
      </c>
      <c r="J157" s="168">
        <f>IF(J109=1,I156,0)</f>
        <v>0</v>
      </c>
      <c r="K157" s="168"/>
      <c r="L157" s="115">
        <f>IF(L109=1,M156,0)</f>
        <v>1</v>
      </c>
      <c r="N157" s="168">
        <f>IF(N109=1,M156,0)</f>
        <v>0</v>
      </c>
      <c r="O157" s="115">
        <f>IF(O109=1,P156,0)</f>
        <v>0</v>
      </c>
      <c r="Q157" s="168">
        <f>IF(Q109=1,P156,0)</f>
        <v>0</v>
      </c>
      <c r="R157" s="115">
        <f>IF(R109=1,S156,0)</f>
        <v>1</v>
      </c>
      <c r="T157" s="168">
        <f>IF(T109=1,S156,0)</f>
        <v>0</v>
      </c>
      <c r="U157" s="115">
        <f>IF(U109=1,V156,0)</f>
        <v>0</v>
      </c>
      <c r="W157" s="168">
        <f>IF(W109=1,V156,0)</f>
        <v>0</v>
      </c>
      <c r="X157" s="115">
        <f>IF(X109=1,Y156,0)</f>
        <v>0</v>
      </c>
      <c r="Z157" s="168">
        <f>IF(Z109=1,Y156,0)</f>
        <v>0</v>
      </c>
      <c r="AA157" s="115">
        <f>IF(AA109=1,AB156,0)</f>
        <v>0</v>
      </c>
      <c r="AC157" s="168">
        <f>IF(AC109=1,AB156,0)</f>
        <v>0</v>
      </c>
      <c r="AD157" s="115">
        <f>IF(AD109=1,AE156,0)</f>
        <v>0</v>
      </c>
      <c r="AF157" s="168">
        <f>IF(AF109=1,AE156,0)</f>
        <v>0</v>
      </c>
      <c r="AG157" s="115">
        <f>SUM(B157:AF157)</f>
        <v>3</v>
      </c>
      <c r="AW157" s="166"/>
    </row>
    <row r="158" spans="1:49" s="115" customFormat="1" ht="12.75" hidden="1" customHeight="1">
      <c r="A158" s="115" t="s">
        <v>44</v>
      </c>
      <c r="B158" s="115">
        <f>IF(B109=2,C156,0)</f>
        <v>1</v>
      </c>
      <c r="D158" s="168">
        <f>IF(D109=2,C156,0)</f>
        <v>0</v>
      </c>
      <c r="E158" s="115">
        <f>IF(E109=2,F156,0)</f>
        <v>0</v>
      </c>
      <c r="G158" s="168">
        <f>IF(G109=2,F156,0)</f>
        <v>0</v>
      </c>
      <c r="H158" s="115">
        <f>IF(H109=2,I156,0)</f>
        <v>1</v>
      </c>
      <c r="J158" s="168">
        <f>IF(J109=2,I156,0)</f>
        <v>0</v>
      </c>
      <c r="K158" s="168"/>
      <c r="L158" s="115">
        <f>IF(L109=2,M156,0)</f>
        <v>0</v>
      </c>
      <c r="N158" s="168">
        <f>IF(N109=2,M156,0)</f>
        <v>0</v>
      </c>
      <c r="O158" s="115">
        <f>IF(O109=2,P156,0)</f>
        <v>0</v>
      </c>
      <c r="Q158" s="168">
        <f>IF(Q109=2,P156,0)</f>
        <v>0</v>
      </c>
      <c r="R158" s="115">
        <f>IF(R109=2,S156,0)</f>
        <v>0</v>
      </c>
      <c r="T158" s="168">
        <f>IF(T109=2,S156,0)</f>
        <v>1</v>
      </c>
      <c r="U158" s="115">
        <f>IF(U109=2,V156,0)</f>
        <v>0</v>
      </c>
      <c r="W158" s="168">
        <f>IF(W109=2,V156,0)</f>
        <v>0</v>
      </c>
      <c r="X158" s="115">
        <f>IF(X109=2,Y156,0)</f>
        <v>0</v>
      </c>
      <c r="Z158" s="168">
        <f>IF(Z109=2,Y156,0)</f>
        <v>0</v>
      </c>
      <c r="AA158" s="115">
        <f>IF(AA109=2,AB156,0)</f>
        <v>0</v>
      </c>
      <c r="AC158" s="168">
        <f>IF(AC109=2,AB156,0)</f>
        <v>0</v>
      </c>
      <c r="AD158" s="115">
        <f>IF(AD109=2,AE156,0)</f>
        <v>0</v>
      </c>
      <c r="AF158" s="168">
        <f>IF(AF109=2,AE156,0)</f>
        <v>0</v>
      </c>
      <c r="AG158" s="115">
        <f>SUM(B158:AF158)</f>
        <v>3</v>
      </c>
      <c r="AW158" s="166"/>
    </row>
    <row r="159" spans="1:49" s="115" customFormat="1" ht="12.75" hidden="1" customHeight="1">
      <c r="A159" s="115" t="s">
        <v>45</v>
      </c>
      <c r="B159" s="115">
        <f>IF(B109=3,C156,0)</f>
        <v>0</v>
      </c>
      <c r="D159" s="168">
        <f>IF(D109=3,C156,0)</f>
        <v>1</v>
      </c>
      <c r="E159" s="115">
        <f>IF(E109=3,F156,0)</f>
        <v>0</v>
      </c>
      <c r="G159" s="168">
        <f>IF(G109=3,F156,0)</f>
        <v>0</v>
      </c>
      <c r="H159" s="115">
        <f>IF(H109=3,I156,0)</f>
        <v>0</v>
      </c>
      <c r="J159" s="168">
        <f>IF(J109=3,I156,0)</f>
        <v>0</v>
      </c>
      <c r="K159" s="168"/>
      <c r="L159" s="115">
        <f>IF(L109=3,M156,0)</f>
        <v>0</v>
      </c>
      <c r="N159" s="168">
        <f>IF(N109=3,M156,0)</f>
        <v>1</v>
      </c>
      <c r="O159" s="115">
        <f>IF(O109=3,P156,0)</f>
        <v>1</v>
      </c>
      <c r="Q159" s="168">
        <f>IF(Q109=3,P156,0)</f>
        <v>0</v>
      </c>
      <c r="R159" s="115">
        <f>IF(R109=3,S156,0)</f>
        <v>0</v>
      </c>
      <c r="T159" s="168">
        <f>IF(T109=3,S156,0)</f>
        <v>0</v>
      </c>
      <c r="U159" s="115">
        <f>IF(U109=3,V156,0)</f>
        <v>0</v>
      </c>
      <c r="W159" s="168">
        <f>IF(W109=3,V156,0)</f>
        <v>0</v>
      </c>
      <c r="X159" s="115">
        <f>IF(X109=3,Y156,0)</f>
        <v>0</v>
      </c>
      <c r="Z159" s="168">
        <f>IF(Z109=3,Y156,0)</f>
        <v>0</v>
      </c>
      <c r="AA159" s="115">
        <f>IF(AA109=3,AB156,0)</f>
        <v>0</v>
      </c>
      <c r="AC159" s="168">
        <f>IF(AC109=3,AB156,0)</f>
        <v>0</v>
      </c>
      <c r="AD159" s="115">
        <f>IF(AD109=3,AE156,0)</f>
        <v>0</v>
      </c>
      <c r="AF159" s="168">
        <f>IF(AF109=3,AE156,0)</f>
        <v>0</v>
      </c>
      <c r="AG159" s="115">
        <f>SUM(B159:AF159)</f>
        <v>3</v>
      </c>
      <c r="AW159" s="166"/>
    </row>
    <row r="160" spans="1:49" s="115" customFormat="1" ht="12.75" hidden="1" customHeight="1">
      <c r="A160" s="115" t="s">
        <v>46</v>
      </c>
      <c r="B160" s="115">
        <f>IF(B109=4,C156,0)</f>
        <v>0</v>
      </c>
      <c r="D160" s="168">
        <f>IF(D109=4,C156,0)</f>
        <v>0</v>
      </c>
      <c r="E160" s="115">
        <f>IF(E109=4,F156,0)</f>
        <v>0</v>
      </c>
      <c r="G160" s="168">
        <f>IF(G109=4,F156,0)</f>
        <v>1</v>
      </c>
      <c r="H160" s="115">
        <f>IF(H109=4,I156,0)</f>
        <v>0</v>
      </c>
      <c r="J160" s="168">
        <f>IF(J109=4,I156,0)</f>
        <v>1</v>
      </c>
      <c r="K160" s="168"/>
      <c r="L160" s="115">
        <f>IF(L109=4,M156,0)</f>
        <v>0</v>
      </c>
      <c r="N160" s="168">
        <f>IF(N109=4,M156,0)</f>
        <v>0</v>
      </c>
      <c r="O160" s="115">
        <f>IF(O109=4,P156,0)</f>
        <v>0</v>
      </c>
      <c r="Q160" s="168">
        <f>IF(Q109=4,P156,0)</f>
        <v>1</v>
      </c>
      <c r="R160" s="115">
        <f>IF(R109=4,S156,0)</f>
        <v>0</v>
      </c>
      <c r="T160" s="168">
        <f>IF(T109=4,S156,0)</f>
        <v>0</v>
      </c>
      <c r="U160" s="115">
        <f>IF(U109=4,V156,0)</f>
        <v>0</v>
      </c>
      <c r="W160" s="168">
        <f>IF(W109=4,V156,0)</f>
        <v>0</v>
      </c>
      <c r="X160" s="115">
        <f>IF(X109=4,Y156,0)</f>
        <v>0</v>
      </c>
      <c r="Z160" s="168">
        <f>IF(Z109=4,Y156,0)</f>
        <v>0</v>
      </c>
      <c r="AA160" s="115">
        <f>IF(AA109=4,AB156,0)</f>
        <v>0</v>
      </c>
      <c r="AC160" s="168">
        <f>IF(AC109=4,AB156,0)</f>
        <v>0</v>
      </c>
      <c r="AD160" s="115">
        <f>IF(AD109=4,AE156,0)</f>
        <v>0</v>
      </c>
      <c r="AF160" s="168">
        <f>IF(AF109=4,AE156,0)</f>
        <v>0</v>
      </c>
      <c r="AG160" s="115">
        <f>SUM(B160:AF160)</f>
        <v>3</v>
      </c>
      <c r="AW160" s="166"/>
    </row>
    <row r="161" spans="1:81" s="115" customFormat="1" ht="12.75" hidden="1" customHeight="1">
      <c r="A161" s="115" t="s">
        <v>47</v>
      </c>
      <c r="B161" s="115">
        <f>IF(B109=5,C156,0)</f>
        <v>0</v>
      </c>
      <c r="D161" s="168">
        <f>IF(D109=5,C156,0)</f>
        <v>0</v>
      </c>
      <c r="E161" s="115">
        <f>IF(E109=5,F156,0)</f>
        <v>0</v>
      </c>
      <c r="G161" s="168">
        <f>IF(G109=5,F156,0)</f>
        <v>0</v>
      </c>
      <c r="H161" s="115">
        <f>IF(H109=5,I156,0)</f>
        <v>0</v>
      </c>
      <c r="J161" s="168">
        <f>IF(J109=5,I156,0)</f>
        <v>0</v>
      </c>
      <c r="K161" s="168"/>
      <c r="L161" s="115">
        <f>IF(L109=5,M156,0)</f>
        <v>0</v>
      </c>
      <c r="N161" s="168">
        <f>IF(N109=5,M156,0)</f>
        <v>0</v>
      </c>
      <c r="O161" s="115">
        <f>IF(O109=5,P156,0)</f>
        <v>0</v>
      </c>
      <c r="Q161" s="168">
        <f>IF(Q109=5,P156,0)</f>
        <v>0</v>
      </c>
      <c r="R161" s="115">
        <f>IF(R109=5,S156,0)</f>
        <v>0</v>
      </c>
      <c r="T161" s="168">
        <f>IF(T109=5,S156,0)</f>
        <v>0</v>
      </c>
      <c r="U161" s="115">
        <f>IF(U109=5,V156,0)</f>
        <v>0</v>
      </c>
      <c r="W161" s="168">
        <f>IF(W109=5,V156,0)</f>
        <v>0</v>
      </c>
      <c r="X161" s="115">
        <f>IF(X109=5,Y156,0)</f>
        <v>0</v>
      </c>
      <c r="Z161" s="168">
        <f>IF(Z109=5,Y156,0)</f>
        <v>0</v>
      </c>
      <c r="AA161" s="115">
        <f>IF(AA109=5,AB156,0)</f>
        <v>0</v>
      </c>
      <c r="AC161" s="168">
        <f>IF(AC109=5,AB156,0)</f>
        <v>0</v>
      </c>
      <c r="AD161" s="115">
        <f>IF(AD109=5,AE156,0)</f>
        <v>0</v>
      </c>
      <c r="AF161" s="168">
        <f>IF(AF109=5,AE156,0)</f>
        <v>0</v>
      </c>
      <c r="AG161" s="115">
        <f>SUM(B161:AF161)</f>
        <v>0</v>
      </c>
      <c r="AW161" s="166"/>
    </row>
    <row r="162" spans="1:81" hidden="1">
      <c r="A162" s="219"/>
      <c r="B162" s="219"/>
      <c r="C162" s="219"/>
      <c r="D162" s="219"/>
      <c r="E162" s="219"/>
      <c r="F162" s="219"/>
      <c r="G162" s="219"/>
      <c r="H162" s="219"/>
      <c r="I162" s="219"/>
      <c r="J162" s="219"/>
      <c r="K162" s="219"/>
      <c r="L162" s="219"/>
      <c r="M162" s="219"/>
      <c r="N162" s="219"/>
      <c r="O162" s="219"/>
      <c r="P162" s="219"/>
      <c r="Q162" s="219"/>
      <c r="R162" s="219"/>
      <c r="S162" s="219"/>
      <c r="T162" s="219"/>
      <c r="U162" s="219"/>
      <c r="V162" s="219"/>
      <c r="W162" s="219"/>
      <c r="X162" s="219"/>
      <c r="Y162" s="219"/>
      <c r="Z162" s="219"/>
      <c r="AA162" s="219"/>
      <c r="AB162" s="219"/>
      <c r="AC162" s="219"/>
      <c r="AD162" s="219"/>
      <c r="AE162" s="219"/>
      <c r="AF162" s="219"/>
      <c r="AG162" s="219"/>
      <c r="AH162" s="219"/>
      <c r="AI162" s="219"/>
      <c r="AJ162" s="219"/>
      <c r="AK162" s="219"/>
      <c r="AL162" s="219"/>
      <c r="AM162" s="219"/>
      <c r="AN162" s="219"/>
      <c r="AO162" s="220"/>
      <c r="AP162" s="220"/>
      <c r="AQ162" s="220"/>
      <c r="AR162" s="220"/>
      <c r="AS162" s="117"/>
      <c r="AT162" s="117"/>
      <c r="AU162" s="117"/>
      <c r="AV162" s="117"/>
      <c r="BB162" s="39"/>
      <c r="BE162" s="39"/>
      <c r="BH162" s="39"/>
      <c r="BK162" s="39"/>
      <c r="BN162" s="39"/>
      <c r="BQ162" s="39"/>
      <c r="BT162" s="39"/>
      <c r="BW162" s="39"/>
      <c r="BZ162" s="39"/>
      <c r="CC162" s="39"/>
    </row>
    <row r="163" spans="1:81" s="117" customFormat="1" hidden="1">
      <c r="A163" s="34"/>
      <c r="B163" s="34"/>
      <c r="C163" s="34" t="s">
        <v>223</v>
      </c>
      <c r="D163" s="34">
        <v>1</v>
      </c>
      <c r="E163" s="34"/>
      <c r="F163" s="34"/>
      <c r="G163" s="34">
        <v>2</v>
      </c>
      <c r="H163" s="34"/>
      <c r="I163" s="34"/>
      <c r="J163" s="34">
        <v>3</v>
      </c>
      <c r="K163" s="34"/>
      <c r="L163" s="34"/>
      <c r="M163" s="34"/>
      <c r="N163" s="34">
        <v>4</v>
      </c>
      <c r="O163" s="34"/>
      <c r="P163" s="34"/>
      <c r="Q163" s="34">
        <v>5</v>
      </c>
      <c r="R163" s="34"/>
      <c r="S163" s="34"/>
      <c r="T163" s="34">
        <v>6</v>
      </c>
      <c r="U163" s="34"/>
      <c r="V163" s="34"/>
      <c r="W163" s="34">
        <v>7</v>
      </c>
      <c r="X163" s="34"/>
      <c r="Y163" s="34"/>
      <c r="Z163" s="34">
        <v>8</v>
      </c>
      <c r="AA163" s="34"/>
      <c r="AB163" s="34"/>
      <c r="AC163" s="34">
        <v>9</v>
      </c>
      <c r="AD163" s="34"/>
      <c r="AE163" s="34"/>
      <c r="AF163" s="34">
        <v>10</v>
      </c>
      <c r="AG163" s="3"/>
      <c r="AH163" s="34"/>
      <c r="AJ163" s="169"/>
      <c r="AK163" s="3"/>
      <c r="AL163" s="3"/>
      <c r="AM163" s="3"/>
      <c r="AN163" s="3"/>
      <c r="AO163" s="3"/>
      <c r="AP163" s="3"/>
      <c r="AT163" s="169" t="s">
        <v>224</v>
      </c>
      <c r="AW163" s="170"/>
      <c r="BB163" s="170"/>
      <c r="BE163" s="170"/>
      <c r="BH163" s="170"/>
      <c r="BK163" s="170"/>
      <c r="BN163" s="170"/>
      <c r="BQ163" s="170"/>
      <c r="BT163" s="170"/>
      <c r="BW163" s="170"/>
      <c r="BZ163" s="170"/>
      <c r="CC163" s="170"/>
    </row>
    <row r="164" spans="1:81" s="117" customFormat="1" hidden="1">
      <c r="A164" s="171">
        <v>1</v>
      </c>
      <c r="B164" s="171" t="str">
        <f>E93</f>
        <v>Magnum Aiken 12 Yellow</v>
      </c>
      <c r="C164" s="171">
        <f>VLOOKUP(B164,AU$3:AY$33,3,FALSE)</f>
        <v>1400</v>
      </c>
      <c r="D164" s="171">
        <f>IF(B157,B172,IF(D157,D172,C164))</f>
        <v>1400</v>
      </c>
      <c r="E164" s="171"/>
      <c r="F164" s="171"/>
      <c r="G164" s="171">
        <f>IF(E157,E172,IF(G157,G172,D164))</f>
        <v>1407.6880983472654</v>
      </c>
      <c r="H164" s="171"/>
      <c r="I164" s="171"/>
      <c r="J164" s="171">
        <f>IF(H157,H172,IF(J157,J172,G164))</f>
        <v>1407.6880983472654</v>
      </c>
      <c r="K164" s="171"/>
      <c r="L164" s="171"/>
      <c r="M164" s="171"/>
      <c r="N164" s="171">
        <f>IF(L157,L172,IF(N157,N172,J164))</f>
        <v>1414.6081132311178</v>
      </c>
      <c r="O164" s="171"/>
      <c r="P164" s="171"/>
      <c r="Q164" s="171">
        <f>IF(O157,O172,IF(Q157,Q172,N164))</f>
        <v>1414.6081132311178</v>
      </c>
      <c r="R164" s="171"/>
      <c r="S164" s="171"/>
      <c r="T164" s="171">
        <f>IF(R157,R172,IF(T157,T172,Q164))</f>
        <v>1421.7808589388503</v>
      </c>
      <c r="U164" s="171"/>
      <c r="V164" s="171"/>
      <c r="W164" s="171">
        <f>IF(U157,U172,IF(W157,W172,T164))</f>
        <v>1421.7808589388503</v>
      </c>
      <c r="X164" s="171"/>
      <c r="Y164" s="171"/>
      <c r="Z164" s="171">
        <f>IF(X157,X172,IF(Z157,Z172,W164))</f>
        <v>1421.7808589388503</v>
      </c>
      <c r="AA164" s="171"/>
      <c r="AB164" s="171"/>
      <c r="AC164" s="171">
        <f>IF(AA157,AA172,IF(AC157,AC172,Z164))</f>
        <v>1421.7808589388503</v>
      </c>
      <c r="AD164" s="171"/>
      <c r="AE164" s="171"/>
      <c r="AF164" s="171">
        <f>IF(AD157,AD172,IF(AF157,AF172,AC164))</f>
        <v>1421.7808589388503</v>
      </c>
      <c r="AG164" s="3"/>
      <c r="AH164" s="3"/>
      <c r="AK164" s="3"/>
      <c r="AL164" s="3"/>
      <c r="AM164" s="3"/>
      <c r="AN164" s="3"/>
      <c r="AO164" s="3"/>
      <c r="AP164" s="3"/>
      <c r="AT164" s="117" t="str">
        <f>B164</f>
        <v>Magnum Aiken 12 Yellow</v>
      </c>
      <c r="AU164" s="117">
        <f>AF164</f>
        <v>1421.7808589388503</v>
      </c>
      <c r="AW164" s="170"/>
      <c r="BB164" s="170"/>
      <c r="BE164" s="170"/>
      <c r="BH164" s="170"/>
      <c r="BK164" s="170"/>
      <c r="BN164" s="170"/>
      <c r="BQ164" s="170"/>
      <c r="BT164" s="170"/>
      <c r="BW164" s="170"/>
      <c r="BZ164" s="170"/>
      <c r="CC164" s="170"/>
    </row>
    <row r="165" spans="1:81" s="117" customFormat="1" hidden="1">
      <c r="A165" s="171">
        <v>2</v>
      </c>
      <c r="B165" s="171" t="str">
        <f>E95</f>
        <v>SC Midlands KP Black</v>
      </c>
      <c r="C165" s="171">
        <f>VLOOKUP(B165,AU$3:AY$33,3,FALSE)</f>
        <v>1200</v>
      </c>
      <c r="D165" s="171">
        <f>IF(B158,B172,IF(D158,D172,C165))</f>
        <v>1216</v>
      </c>
      <c r="E165" s="171"/>
      <c r="F165" s="171"/>
      <c r="G165" s="171">
        <f>IF(E158,E172,IF(G158,G172,D165))</f>
        <v>1216</v>
      </c>
      <c r="H165" s="171"/>
      <c r="I165" s="171"/>
      <c r="J165" s="171">
        <f>IF(H158,H172,IF(J158,J172,G165))</f>
        <v>1198.9108099304831</v>
      </c>
      <c r="K165" s="171"/>
      <c r="L165" s="171"/>
      <c r="M165" s="171"/>
      <c r="N165" s="171">
        <f>IF(L158,L172,IF(N158,N172,J165))</f>
        <v>1198.9108099304831</v>
      </c>
      <c r="O165" s="171"/>
      <c r="P165" s="171"/>
      <c r="Q165" s="171">
        <f>IF(O158,O172,IF(Q158,Q172,N165))</f>
        <v>1198.9108099304831</v>
      </c>
      <c r="R165" s="171"/>
      <c r="S165" s="171"/>
      <c r="T165" s="171">
        <f>IF(R158,R172,IF(T158,T172,Q165))</f>
        <v>1191.7380642227506</v>
      </c>
      <c r="U165" s="171"/>
      <c r="V165" s="171"/>
      <c r="W165" s="171">
        <f>IF(U158,U172,IF(W158,W172,T165))</f>
        <v>1191.7380642227506</v>
      </c>
      <c r="X165" s="171"/>
      <c r="Y165" s="171"/>
      <c r="Z165" s="171">
        <f>IF(X158,X172,IF(Z158,Z172,W165))</f>
        <v>1191.7380642227506</v>
      </c>
      <c r="AA165" s="171"/>
      <c r="AB165" s="171"/>
      <c r="AC165" s="171">
        <f>IF(AA158,AA172,IF(AC158,AC172,Z165))</f>
        <v>1191.7380642227506</v>
      </c>
      <c r="AD165" s="171"/>
      <c r="AE165" s="171"/>
      <c r="AF165" s="171">
        <f>IF(AD158,AD172,IF(AF158,AF172,AC165))</f>
        <v>1191.7380642227506</v>
      </c>
      <c r="AG165" s="3"/>
      <c r="AH165" s="3"/>
      <c r="AK165" s="3"/>
      <c r="AM165" s="3"/>
      <c r="AN165" s="3"/>
      <c r="AO165" s="3"/>
      <c r="AP165" s="3"/>
      <c r="AT165" s="117" t="str">
        <f>B165</f>
        <v>SC Midlands KP Black</v>
      </c>
      <c r="AU165" s="117">
        <f>AF165</f>
        <v>1191.7380642227506</v>
      </c>
      <c r="AW165" s="170"/>
      <c r="BB165" s="170"/>
      <c r="BE165" s="170"/>
      <c r="BH165" s="170"/>
      <c r="BK165" s="170"/>
      <c r="BN165" s="170"/>
      <c r="BQ165" s="170"/>
      <c r="BT165" s="170"/>
      <c r="BW165" s="170"/>
      <c r="BZ165" s="170"/>
      <c r="CC165" s="170"/>
    </row>
    <row r="166" spans="1:81" s="117" customFormat="1" hidden="1">
      <c r="A166" s="171">
        <v>3</v>
      </c>
      <c r="B166" s="171" t="str">
        <f>E97</f>
        <v>SC Midlands KP Silver</v>
      </c>
      <c r="C166" s="171">
        <f>VLOOKUP(B166,AU$3:AY$33,3,FALSE)</f>
        <v>1200</v>
      </c>
      <c r="D166" s="171">
        <f>IF(B159,B172,IF(D159,D172,C166))</f>
        <v>1184</v>
      </c>
      <c r="E166" s="171"/>
      <c r="F166" s="171"/>
      <c r="G166" s="171">
        <f>IF(E159,E172,IF(G159,G172,D166))</f>
        <v>1184</v>
      </c>
      <c r="H166" s="171"/>
      <c r="I166" s="171"/>
      <c r="J166" s="171">
        <f>IF(H159,H172,IF(J159,J172,G166))</f>
        <v>1184</v>
      </c>
      <c r="K166" s="171"/>
      <c r="L166" s="171"/>
      <c r="M166" s="171"/>
      <c r="N166" s="171">
        <f>IF(L159,L172,IF(N159,N172,J166))</f>
        <v>1177.0799851161476</v>
      </c>
      <c r="O166" s="171"/>
      <c r="P166" s="171"/>
      <c r="Q166" s="171">
        <f>IF(O159,O172,IF(Q159,Q172,N166))</f>
        <v>1162.564148165184</v>
      </c>
      <c r="R166" s="171"/>
      <c r="S166" s="171"/>
      <c r="T166" s="171">
        <f>IF(R159,R172,IF(T159,T172,Q166))</f>
        <v>1162.564148165184</v>
      </c>
      <c r="U166" s="171"/>
      <c r="V166" s="171"/>
      <c r="W166" s="171">
        <f>IF(U159,U172,IF(W159,W172,T166))</f>
        <v>1162.564148165184</v>
      </c>
      <c r="X166" s="171"/>
      <c r="Y166" s="171"/>
      <c r="Z166" s="171">
        <f>IF(X159,X172,IF(Z159,Z172,W166))</f>
        <v>1162.564148165184</v>
      </c>
      <c r="AA166" s="171"/>
      <c r="AB166" s="171"/>
      <c r="AC166" s="171">
        <f>IF(AA159,AA172,IF(AC159,AC172,Z166))</f>
        <v>1162.564148165184</v>
      </c>
      <c r="AD166" s="171"/>
      <c r="AE166" s="171"/>
      <c r="AF166" s="171">
        <f>IF(AD159,AD172,IF(AF159,AF172,AC166))</f>
        <v>1162.564148165184</v>
      </c>
      <c r="AG166" s="3"/>
      <c r="AH166" s="3"/>
      <c r="AK166" s="3"/>
      <c r="AM166" s="3"/>
      <c r="AN166" s="3"/>
      <c r="AO166" s="3"/>
      <c r="AP166" s="3"/>
      <c r="AT166" s="117" t="str">
        <f>B166</f>
        <v>SC Midlands KP Silver</v>
      </c>
      <c r="AU166" s="117">
        <f>AF166</f>
        <v>1162.564148165184</v>
      </c>
      <c r="AW166" s="170"/>
      <c r="BB166" s="170"/>
      <c r="BE166" s="170"/>
      <c r="BH166" s="170"/>
      <c r="BK166" s="170"/>
      <c r="BN166" s="170"/>
      <c r="BQ166" s="170"/>
      <c r="BT166" s="170"/>
      <c r="BW166" s="170"/>
      <c r="BZ166" s="170"/>
      <c r="CC166" s="170"/>
    </row>
    <row r="167" spans="1:81" s="117" customFormat="1" hidden="1">
      <c r="A167" s="171">
        <v>4</v>
      </c>
      <c r="B167" s="171" t="str">
        <f>E99</f>
        <v>Foothills Vanessa</v>
      </c>
      <c r="C167" s="171">
        <f>VLOOKUP(B167,AU$3:AY$33,3,FALSE)</f>
        <v>1200</v>
      </c>
      <c r="D167" s="171">
        <f>IF(B160,B172,IF(D160,D172,C167))</f>
        <v>1200</v>
      </c>
      <c r="E167" s="171"/>
      <c r="F167" s="171"/>
      <c r="G167" s="171">
        <f>IF(E160,E172,IF(G160,G172,D167))</f>
        <v>1192.3119016527346</v>
      </c>
      <c r="H167" s="171"/>
      <c r="I167" s="171"/>
      <c r="J167" s="171">
        <f>IF(H160,H172,IF(J160,J172,G167))</f>
        <v>1209.4010917222515</v>
      </c>
      <c r="K167" s="171"/>
      <c r="L167" s="171"/>
      <c r="M167" s="171"/>
      <c r="N167" s="171">
        <f>IF(L160,L172,IF(N160,N172,J167))</f>
        <v>1209.4010917222515</v>
      </c>
      <c r="O167" s="171"/>
      <c r="P167" s="171"/>
      <c r="Q167" s="171">
        <f>IF(O160,O172,IF(Q160,Q172,N167))</f>
        <v>1223.9169286732151</v>
      </c>
      <c r="R167" s="171"/>
      <c r="S167" s="171"/>
      <c r="T167" s="171">
        <f>IF(R160,R172,IF(T160,T172,Q167))</f>
        <v>1223.9169286732151</v>
      </c>
      <c r="U167" s="171"/>
      <c r="V167" s="171"/>
      <c r="W167" s="171">
        <f>IF(U160,U172,IF(W160,W172,T167))</f>
        <v>1223.9169286732151</v>
      </c>
      <c r="X167" s="171"/>
      <c r="Y167" s="171"/>
      <c r="Z167" s="171">
        <f>IF(X160,X172,IF(Z160,Z172,W167))</f>
        <v>1223.9169286732151</v>
      </c>
      <c r="AA167" s="171"/>
      <c r="AB167" s="171"/>
      <c r="AC167" s="171">
        <f>IF(AA160,AA172,IF(AC160,AC172,Z167))</f>
        <v>1223.9169286732151</v>
      </c>
      <c r="AD167" s="171"/>
      <c r="AE167" s="171"/>
      <c r="AF167" s="171">
        <f>IF(AD160,AD172,IF(AF160,AF172,AC167))</f>
        <v>1223.9169286732151</v>
      </c>
      <c r="AG167" s="3"/>
      <c r="AH167" s="3"/>
      <c r="AK167" s="3"/>
      <c r="AM167" s="3"/>
      <c r="AN167" s="3"/>
      <c r="AO167" s="3"/>
      <c r="AP167" s="3"/>
      <c r="AT167" s="117" t="str">
        <f>B167</f>
        <v>Foothills Vanessa</v>
      </c>
      <c r="AU167" s="117">
        <f>AF167</f>
        <v>1223.9169286732151</v>
      </c>
      <c r="AW167" s="170"/>
      <c r="BB167" s="170"/>
      <c r="BE167" s="170"/>
      <c r="BH167" s="170"/>
      <c r="BK167" s="170"/>
      <c r="BN167" s="170"/>
      <c r="BQ167" s="170"/>
      <c r="BT167" s="170"/>
      <c r="BW167" s="170"/>
      <c r="BZ167" s="170"/>
      <c r="CC167" s="170"/>
    </row>
    <row r="168" spans="1:81" s="117" customFormat="1" hidden="1">
      <c r="A168" s="171">
        <v>5</v>
      </c>
      <c r="B168" s="171">
        <f>E101</f>
        <v>0</v>
      </c>
      <c r="C168" s="171" t="e">
        <f>VLOOKUP(B168,AU$3:AY$33,3,FALSE)</f>
        <v>#N/A</v>
      </c>
      <c r="D168" s="171" t="e">
        <f>IF(B161,B172,IF(D161,D172,C168))</f>
        <v>#N/A</v>
      </c>
      <c r="E168" s="171"/>
      <c r="F168" s="171"/>
      <c r="G168" s="171" t="e">
        <f>IF(E161,E172,IF(G161,G172,D168))</f>
        <v>#N/A</v>
      </c>
      <c r="H168" s="171"/>
      <c r="I168" s="171"/>
      <c r="J168" s="171" t="e">
        <f>IF(H161,H172,IF(J161,J172,G168))</f>
        <v>#N/A</v>
      </c>
      <c r="K168" s="171"/>
      <c r="L168" s="171"/>
      <c r="M168" s="171"/>
      <c r="N168" s="171" t="e">
        <f>IF(L161,L172,IF(N161,N172,J168))</f>
        <v>#N/A</v>
      </c>
      <c r="O168" s="171"/>
      <c r="P168" s="171"/>
      <c r="Q168" s="171" t="e">
        <f>IF(O161,O172,IF(Q161,Q172,N168))</f>
        <v>#N/A</v>
      </c>
      <c r="R168" s="171"/>
      <c r="S168" s="171"/>
      <c r="T168" s="171" t="e">
        <f>IF(R161,R172,IF(T161,T172,Q168))</f>
        <v>#N/A</v>
      </c>
      <c r="U168" s="171"/>
      <c r="V168" s="171"/>
      <c r="W168" s="171" t="e">
        <f>IF(U161,U172,IF(W161,W172,T168))</f>
        <v>#N/A</v>
      </c>
      <c r="X168" s="171"/>
      <c r="Y168" s="171"/>
      <c r="Z168" s="171" t="e">
        <f>IF(X161,X172,IF(Z161,Z172,W168))</f>
        <v>#N/A</v>
      </c>
      <c r="AA168" s="171"/>
      <c r="AB168" s="171"/>
      <c r="AC168" s="171" t="e">
        <f>IF(AA161,AA172,IF(AC161,AC172,Z168))</f>
        <v>#N/A</v>
      </c>
      <c r="AD168" s="171"/>
      <c r="AE168" s="171"/>
      <c r="AF168" s="171" t="e">
        <f>IF(AD161,AD172,IF(AF161,AF172,AC168))</f>
        <v>#N/A</v>
      </c>
      <c r="AG168" s="3"/>
      <c r="AH168" s="3"/>
      <c r="AK168" s="3"/>
      <c r="AM168" s="3"/>
      <c r="AN168" s="3"/>
      <c r="AO168" s="3"/>
      <c r="AP168" s="3"/>
      <c r="AT168" s="117">
        <f>B168</f>
        <v>0</v>
      </c>
      <c r="AU168" s="117" t="e">
        <f>AF168</f>
        <v>#N/A</v>
      </c>
      <c r="AW168" s="170"/>
      <c r="BB168" s="170"/>
      <c r="BE168" s="170"/>
      <c r="BH168" s="170"/>
      <c r="BK168" s="170"/>
      <c r="BN168" s="170"/>
      <c r="BQ168" s="170"/>
      <c r="BT168" s="170"/>
      <c r="BW168" s="170"/>
      <c r="BZ168" s="170"/>
      <c r="CC168" s="170"/>
    </row>
    <row r="169" spans="1:81" s="117" customFormat="1" hidden="1">
      <c r="A169" s="171"/>
      <c r="B169" s="171"/>
      <c r="C169" s="171"/>
      <c r="D169" s="171"/>
      <c r="E169" s="171"/>
      <c r="F169" s="171"/>
      <c r="G169" s="171"/>
      <c r="H169" s="171"/>
      <c r="I169" s="171"/>
      <c r="J169" s="171"/>
      <c r="K169" s="171"/>
      <c r="L169" s="171"/>
      <c r="M169" s="171"/>
      <c r="N169" s="171"/>
      <c r="O169" s="171"/>
      <c r="P169" s="171"/>
      <c r="Q169" s="171"/>
      <c r="R169" s="171"/>
      <c r="S169" s="171"/>
      <c r="T169" s="171"/>
      <c r="U169" s="171"/>
      <c r="V169" s="171"/>
      <c r="W169" s="171"/>
      <c r="X169" s="171"/>
      <c r="Y169" s="171"/>
      <c r="Z169" s="171"/>
      <c r="AA169" s="171"/>
      <c r="AB169" s="171"/>
      <c r="AC169" s="171"/>
      <c r="AD169" s="171"/>
      <c r="AE169" s="171"/>
      <c r="AF169" s="171"/>
      <c r="AG169" s="3"/>
      <c r="AH169" s="3"/>
      <c r="AK169" s="3"/>
      <c r="AM169" s="3"/>
      <c r="AN169" s="3"/>
      <c r="AO169" s="3"/>
      <c r="AP169" s="3"/>
      <c r="AW169" s="170"/>
      <c r="BB169" s="170"/>
      <c r="BE169" s="170"/>
      <c r="BH169" s="170"/>
      <c r="BK169" s="170"/>
      <c r="BN169" s="170"/>
      <c r="BQ169" s="170"/>
      <c r="BT169" s="170"/>
      <c r="BW169" s="170"/>
      <c r="BZ169" s="170"/>
      <c r="CC169" s="170"/>
    </row>
    <row r="170" spans="1:81" s="117" customFormat="1" hidden="1">
      <c r="A170" s="171" t="s">
        <v>225</v>
      </c>
      <c r="B170" s="171">
        <f>VLOOKUP(B109,$A164:$AF168,3,FALSE)</f>
        <v>1200</v>
      </c>
      <c r="C170" s="171">
        <v>1</v>
      </c>
      <c r="D170" s="171">
        <f>VLOOKUP(D109,$A164:$AF168,3,FALSE)</f>
        <v>1200</v>
      </c>
      <c r="E170" s="171">
        <f>VLOOKUP(E109,$A164:$AF168,4,FALSE)</f>
        <v>1400</v>
      </c>
      <c r="F170" s="171">
        <v>2</v>
      </c>
      <c r="G170" s="171">
        <f>VLOOKUP(G109,$A164:$AF168,4,FALSE)</f>
        <v>1200</v>
      </c>
      <c r="H170" s="171">
        <f>VLOOKUP(H109,$A164:$AF168,7,FALSE)</f>
        <v>1216</v>
      </c>
      <c r="I170" s="171">
        <v>3</v>
      </c>
      <c r="J170" s="171">
        <f>VLOOKUP(J109,$A164:$AF168,7,FALSE)</f>
        <v>1192.3119016527346</v>
      </c>
      <c r="K170" s="171"/>
      <c r="L170" s="171">
        <f>VLOOKUP(L109,$A164:$AF168,10,FALSE)</f>
        <v>1407.6880983472654</v>
      </c>
      <c r="M170" s="171">
        <v>4</v>
      </c>
      <c r="N170" s="171">
        <f>VLOOKUP(N109,$A164:$AF168,10,FALSE)</f>
        <v>1184</v>
      </c>
      <c r="O170" s="171">
        <f>VLOOKUP(O109,$A164:$AF168,14,FALSE)</f>
        <v>1177.0799851161476</v>
      </c>
      <c r="P170" s="171">
        <v>5</v>
      </c>
      <c r="Q170" s="171">
        <f>VLOOKUP(Q109,$A164:$AF168,14,FALSE)</f>
        <v>1209.4010917222515</v>
      </c>
      <c r="R170" s="171">
        <f>VLOOKUP(R109,$A164:$AF168,17,FALSE)</f>
        <v>1414.6081132311178</v>
      </c>
      <c r="S170" s="171">
        <v>6</v>
      </c>
      <c r="T170" s="171">
        <f>VLOOKUP(T109,$A164:$AF168,17,FALSE)</f>
        <v>1198.9108099304831</v>
      </c>
      <c r="U170" s="171" t="e">
        <f>VLOOKUP(U109,$A164:$AF168,20,FALSE)</f>
        <v>#N/A</v>
      </c>
      <c r="V170" s="171">
        <v>7</v>
      </c>
      <c r="W170" s="171" t="e">
        <f>VLOOKUP(W109,$A164:$AF168,20,FALSE)</f>
        <v>#N/A</v>
      </c>
      <c r="X170" s="171" t="e">
        <f>VLOOKUP(X109,$A164:$AF168,23,FALSE)</f>
        <v>#N/A</v>
      </c>
      <c r="Y170" s="171">
        <v>8</v>
      </c>
      <c r="Z170" s="171" t="e">
        <f>VLOOKUP(Z109,$A164:$AF168,23,FALSE)</f>
        <v>#N/A</v>
      </c>
      <c r="AA170" s="171" t="e">
        <f>VLOOKUP(AA109,$A164:$AF168,26,FALSE)</f>
        <v>#N/A</v>
      </c>
      <c r="AB170" s="171">
        <v>9</v>
      </c>
      <c r="AC170" s="171" t="e">
        <f>VLOOKUP(AC109,$A164:$AF168,26,FALSE)</f>
        <v>#N/A</v>
      </c>
      <c r="AD170" s="171" t="e">
        <f>VLOOKUP(AD109,$A164:$AF168,29,FALSE)</f>
        <v>#N/A</v>
      </c>
      <c r="AE170" s="171">
        <v>10</v>
      </c>
      <c r="AF170" s="171" t="e">
        <f>VLOOKUP(AF109,$A164:$AF168,29,FALSE)</f>
        <v>#N/A</v>
      </c>
      <c r="AG170" s="3"/>
      <c r="AH170" s="219"/>
      <c r="AI170" s="219"/>
      <c r="AJ170" s="219"/>
      <c r="AK170" s="219"/>
      <c r="AL170" s="219"/>
      <c r="AM170" s="219"/>
      <c r="AN170" s="219"/>
      <c r="AO170" s="220"/>
      <c r="AP170" s="220"/>
      <c r="AQ170" s="220"/>
      <c r="AR170" s="220"/>
      <c r="AW170" s="170"/>
      <c r="BB170" s="170"/>
      <c r="BE170" s="170"/>
      <c r="BH170" s="170"/>
      <c r="BK170" s="170"/>
      <c r="BN170" s="170"/>
      <c r="BQ170" s="170"/>
      <c r="BT170" s="170"/>
      <c r="BW170" s="170"/>
      <c r="BZ170" s="170"/>
      <c r="CC170" s="170"/>
    </row>
    <row r="171" spans="1:81" s="176" customFormat="1" hidden="1">
      <c r="A171" s="172" t="s">
        <v>226</v>
      </c>
      <c r="B171" s="172">
        <f>1/(1+(10^-((B170-D170)/400)))*(B121+D121)</f>
        <v>0.5</v>
      </c>
      <c r="C171" s="172"/>
      <c r="D171" s="172">
        <f>1/(1+(10^-((D170-B170)/400)))*(B121+D121)</f>
        <v>0.5</v>
      </c>
      <c r="E171" s="172">
        <f>1/(1+(10^-((E170-G170)/400)))*(E121+G121)</f>
        <v>0.75974692664795784</v>
      </c>
      <c r="F171" s="172"/>
      <c r="G171" s="172">
        <f>1/(1+(10^-((G170-E170)/400)))*(E121+G121)</f>
        <v>0.2402530733520421</v>
      </c>
      <c r="H171" s="172">
        <f>1/(1+(10^-((H170-J170)/400)))*(H121+J121)</f>
        <v>0.53403718967240621</v>
      </c>
      <c r="I171" s="172"/>
      <c r="J171" s="172">
        <f>1/(1+(10^-((J170-H170)/400)))*(H121+J121)</f>
        <v>0.46596281032759373</v>
      </c>
      <c r="K171" s="172"/>
      <c r="L171" s="172">
        <f>1/(1+(10^-((L170-N170)/400)))*(L121+N121)</f>
        <v>0.78374953487960952</v>
      </c>
      <c r="M171" s="172"/>
      <c r="N171" s="172">
        <f>1/(1+(10^-((N170-L170)/400)))*(L121+N121)</f>
        <v>0.21625046512039056</v>
      </c>
      <c r="O171" s="172">
        <f>1/(1+(10^-((O170-Q170)/400)))*(O121+Q121)</f>
        <v>0.45361990471761093</v>
      </c>
      <c r="P171" s="172"/>
      <c r="Q171" s="172">
        <f>1/(1+(10^-((Q170-O170)/400)))*(O121+Q121)</f>
        <v>0.54638009528238907</v>
      </c>
      <c r="R171" s="172">
        <f>1/(1+(10^-((R170-T170)/400)))*(R121+T121)</f>
        <v>0.77585169663336362</v>
      </c>
      <c r="S171" s="172"/>
      <c r="T171" s="172">
        <f>1/(1+(10^-((T170-R170)/400)))*(R121+T121)</f>
        <v>0.22414830336663646</v>
      </c>
      <c r="U171" s="172" t="e">
        <f>1/(1+(10^-((U170-W170)/400)))*(U121+W121)</f>
        <v>#N/A</v>
      </c>
      <c r="V171" s="172"/>
      <c r="W171" s="172" t="e">
        <f>1/(1+(10^-((W170-U170)/400)))*(U121+W121)</f>
        <v>#N/A</v>
      </c>
      <c r="X171" s="172" t="e">
        <f>1/(1+(10^-((X170-Z170)/400)))*(X121+Z121)</f>
        <v>#N/A</v>
      </c>
      <c r="Y171" s="172"/>
      <c r="Z171" s="172" t="e">
        <f>1/(1+(10^-((Z170-X170)/400)))*(X121+Z121)</f>
        <v>#N/A</v>
      </c>
      <c r="AA171" s="172" t="e">
        <f>1/(1+(10^-((AA170-AC170)/400)))*(AA121+AC121)</f>
        <v>#N/A</v>
      </c>
      <c r="AB171" s="172"/>
      <c r="AC171" s="172" t="e">
        <f>1/(1+(10^-((AC170-AA170)/400)))*(AA121+AC121)</f>
        <v>#N/A</v>
      </c>
      <c r="AD171" s="172" t="e">
        <f>1/(1+(10^-((AD170-AF170)/400)))*(AD121+AF121)</f>
        <v>#N/A</v>
      </c>
      <c r="AE171" s="172"/>
      <c r="AF171" s="172" t="e">
        <f>1/(1+(10^-((AF170-AD170)/400)))*(AD121+AF121)</f>
        <v>#N/A</v>
      </c>
      <c r="AG171" s="173"/>
      <c r="AH171" s="174"/>
      <c r="AI171" s="174"/>
      <c r="AJ171" s="174"/>
      <c r="AK171" s="174"/>
      <c r="AL171" s="174"/>
      <c r="AM171" s="174"/>
      <c r="AN171" s="174"/>
      <c r="AO171" s="175"/>
      <c r="AP171" s="175"/>
      <c r="AQ171" s="175"/>
      <c r="AR171" s="175"/>
      <c r="AW171" s="177"/>
      <c r="BB171" s="177"/>
      <c r="BE171" s="177"/>
      <c r="BH171" s="177"/>
      <c r="BK171" s="177"/>
      <c r="BN171" s="177"/>
      <c r="BQ171" s="177"/>
      <c r="BT171" s="177"/>
      <c r="BW171" s="177"/>
      <c r="BZ171" s="177"/>
      <c r="CC171" s="177"/>
    </row>
    <row r="172" spans="1:81" s="182" customFormat="1" hidden="1">
      <c r="A172" s="178" t="s">
        <v>227</v>
      </c>
      <c r="B172" s="178">
        <f>B170+(B121-B171)*$BA$1</f>
        <v>1216</v>
      </c>
      <c r="C172" s="178"/>
      <c r="D172" s="178">
        <f>D170+(D121-D171)*$BA$1</f>
        <v>1184</v>
      </c>
      <c r="E172" s="178">
        <f>E170+(E121-E171)*$BA$1</f>
        <v>1407.6880983472654</v>
      </c>
      <c r="F172" s="178"/>
      <c r="G172" s="178">
        <f>G170+(G121-G171)*$BA$1</f>
        <v>1192.3119016527346</v>
      </c>
      <c r="H172" s="178">
        <f>H170+(H121-H171)*$BA$1</f>
        <v>1198.9108099304831</v>
      </c>
      <c r="I172" s="178"/>
      <c r="J172" s="178">
        <f>J170+(J121-J171)*$BA$1</f>
        <v>1209.4010917222515</v>
      </c>
      <c r="K172" s="178"/>
      <c r="L172" s="178">
        <f>L170+(L121-L171)*$BA$1</f>
        <v>1414.6081132311178</v>
      </c>
      <c r="M172" s="178"/>
      <c r="N172" s="178">
        <f>N170+(N121-N171)*$BA$1</f>
        <v>1177.0799851161476</v>
      </c>
      <c r="O172" s="178">
        <f>O170+(O121-O171)*$BA$1</f>
        <v>1162.564148165184</v>
      </c>
      <c r="P172" s="178"/>
      <c r="Q172" s="178">
        <f>Q170+(Q121-Q171)*$BA$1</f>
        <v>1223.9169286732151</v>
      </c>
      <c r="R172" s="178">
        <f>R170+(R121-R171)*$BA$1</f>
        <v>1421.7808589388503</v>
      </c>
      <c r="S172" s="178"/>
      <c r="T172" s="178">
        <f>T170+(T121-T171)*$BA$1</f>
        <v>1191.7380642227506</v>
      </c>
      <c r="U172" s="178" t="e">
        <f>U170+(U121-U171)*$BA$1</f>
        <v>#N/A</v>
      </c>
      <c r="V172" s="178"/>
      <c r="W172" s="178" t="e">
        <f>W170+(W121-W171)*$BA$1</f>
        <v>#N/A</v>
      </c>
      <c r="X172" s="178" t="e">
        <f>X170+(X121-X171)*$BA$1</f>
        <v>#N/A</v>
      </c>
      <c r="Y172" s="178"/>
      <c r="Z172" s="178" t="e">
        <f>Z170+(Z121-Z171)*$BA$1</f>
        <v>#N/A</v>
      </c>
      <c r="AA172" s="178" t="e">
        <f>AA170+(AA121-AA171)*$BA$1</f>
        <v>#N/A</v>
      </c>
      <c r="AB172" s="178"/>
      <c r="AC172" s="178" t="e">
        <f>AC170+(AC121-AC171)*$BA$1</f>
        <v>#N/A</v>
      </c>
      <c r="AD172" s="178" t="e">
        <f>AD170+(AD121-AD171)*$BA$1</f>
        <v>#N/A</v>
      </c>
      <c r="AE172" s="178"/>
      <c r="AF172" s="178" t="e">
        <f>AF170+(AF121-AF171)*$BA$1</f>
        <v>#N/A</v>
      </c>
      <c r="AG172" s="179"/>
      <c r="AH172" s="180"/>
      <c r="AI172" s="180"/>
      <c r="AJ172" s="180"/>
      <c r="AK172" s="180"/>
      <c r="AL172" s="180"/>
      <c r="AM172" s="180"/>
      <c r="AN172" s="180"/>
      <c r="AO172" s="181"/>
      <c r="AP172" s="181"/>
      <c r="AQ172" s="181"/>
      <c r="AR172" s="181"/>
      <c r="AW172" s="183"/>
      <c r="BB172" s="183"/>
      <c r="BE172" s="183"/>
      <c r="BH172" s="183"/>
      <c r="BK172" s="183"/>
      <c r="BN172" s="183"/>
      <c r="BQ172" s="183"/>
      <c r="BT172" s="183"/>
      <c r="BW172" s="183"/>
      <c r="BZ172" s="183"/>
      <c r="CC172" s="183"/>
    </row>
    <row r="173" spans="1:81" s="182" customFormat="1" hidden="1">
      <c r="A173" s="178"/>
      <c r="B173" s="178"/>
      <c r="C173" s="178"/>
      <c r="D173" s="178"/>
      <c r="E173" s="178"/>
      <c r="F173" s="178"/>
      <c r="G173" s="178"/>
      <c r="H173" s="178"/>
      <c r="I173" s="178"/>
      <c r="J173" s="178"/>
      <c r="K173" s="178"/>
      <c r="L173" s="178"/>
      <c r="M173" s="178"/>
      <c r="N173" s="178"/>
      <c r="O173" s="178"/>
      <c r="P173" s="178"/>
      <c r="Q173" s="178"/>
      <c r="R173" s="178"/>
      <c r="S173" s="178"/>
      <c r="T173" s="178"/>
      <c r="U173" s="178"/>
      <c r="V173" s="178"/>
      <c r="W173" s="178"/>
      <c r="X173" s="178"/>
      <c r="Y173" s="178"/>
      <c r="Z173" s="178"/>
      <c r="AA173" s="178"/>
      <c r="AB173" s="178"/>
      <c r="AC173" s="178"/>
      <c r="AD173" s="178"/>
      <c r="AE173" s="178"/>
      <c r="AF173" s="178"/>
      <c r="AG173" s="179"/>
      <c r="AH173" s="180"/>
      <c r="AI173" s="180"/>
      <c r="AJ173" s="180"/>
      <c r="AK173" s="180"/>
      <c r="AL173" s="180"/>
      <c r="AM173" s="180"/>
      <c r="AN173" s="180"/>
      <c r="AO173" s="181"/>
      <c r="AP173" s="181"/>
      <c r="AQ173" s="181"/>
      <c r="AR173" s="181"/>
      <c r="AW173" s="183"/>
      <c r="BB173" s="183"/>
      <c r="BE173" s="183"/>
      <c r="BH173" s="183"/>
      <c r="BK173" s="183"/>
      <c r="BN173" s="183"/>
      <c r="BQ173" s="183"/>
      <c r="BT173" s="183"/>
      <c r="BW173" s="183"/>
      <c r="BZ173" s="183"/>
      <c r="CC173" s="183"/>
    </row>
    <row r="174" spans="1:81" s="117" customFormat="1">
      <c r="A174" s="393" t="str">
        <f>IF($AL95=1,"Pool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Tiereaker : 1) Matches Won vs Lost (if 3 way tie then #4)  2) Head to Head  3) Game Win %  4) Total Pool Net Points  5) Flip a Coin</v>
      </c>
      <c r="B174" s="393"/>
      <c r="C174" s="393"/>
      <c r="D174" s="393"/>
      <c r="E174" s="393"/>
      <c r="F174" s="393"/>
      <c r="G174" s="393"/>
      <c r="H174" s="393"/>
      <c r="I174" s="393"/>
      <c r="J174" s="393"/>
      <c r="K174" s="393"/>
      <c r="L174" s="393"/>
      <c r="M174" s="393"/>
      <c r="N174" s="393"/>
      <c r="O174" s="393"/>
      <c r="P174" s="393"/>
      <c r="Q174" s="393"/>
      <c r="R174" s="393"/>
      <c r="S174" s="393"/>
      <c r="T174" s="393"/>
      <c r="U174" s="393"/>
      <c r="V174" s="393"/>
      <c r="W174" s="393"/>
      <c r="X174" s="393"/>
      <c r="Y174" s="393"/>
      <c r="Z174" s="393"/>
      <c r="AA174" s="393"/>
      <c r="AB174" s="393"/>
      <c r="AC174" s="393"/>
      <c r="AD174" s="393"/>
      <c r="AE174" s="393"/>
      <c r="AF174" s="393"/>
      <c r="AG174" s="393"/>
      <c r="AH174" s="393"/>
      <c r="AI174" s="393"/>
      <c r="AJ174" s="393"/>
      <c r="AK174" s="393"/>
      <c r="AL174" s="393"/>
      <c r="AM174" s="393"/>
      <c r="AN174" s="394"/>
      <c r="AO174" s="394"/>
      <c r="AP174" s="394"/>
      <c r="AQ174" s="394"/>
      <c r="AW174" s="170"/>
    </row>
    <row r="175" spans="1:81" s="117" customFormat="1" ht="13.5" thickBot="1">
      <c r="A175" s="395"/>
      <c r="B175" s="395"/>
      <c r="C175" s="395"/>
      <c r="D175" s="395"/>
      <c r="E175" s="395"/>
      <c r="F175" s="395"/>
      <c r="G175" s="395"/>
      <c r="H175" s="395"/>
      <c r="I175" s="395"/>
      <c r="J175" s="395"/>
      <c r="K175" s="395"/>
      <c r="L175" s="395"/>
      <c r="M175" s="395"/>
      <c r="N175" s="395"/>
      <c r="O175" s="395"/>
      <c r="P175" s="395"/>
      <c r="Q175" s="395"/>
      <c r="R175" s="395"/>
      <c r="S175" s="395"/>
      <c r="T175" s="395"/>
      <c r="U175" s="395"/>
      <c r="V175" s="395"/>
      <c r="W175" s="395"/>
      <c r="X175" s="395"/>
      <c r="Y175" s="395"/>
      <c r="Z175" s="395"/>
      <c r="AA175" s="395"/>
      <c r="AB175" s="395"/>
      <c r="AC175" s="395"/>
      <c r="AD175" s="395"/>
      <c r="AE175" s="395"/>
      <c r="AF175" s="395"/>
      <c r="AG175" s="395"/>
      <c r="AH175" s="395"/>
      <c r="AI175" s="395"/>
      <c r="AJ175" s="395"/>
      <c r="AK175" s="395"/>
      <c r="AL175" s="395"/>
      <c r="AM175" s="395"/>
      <c r="AN175" s="395"/>
      <c r="AO175" s="395"/>
      <c r="AP175" s="395"/>
      <c r="AQ175" s="395"/>
      <c r="AR175" s="395"/>
      <c r="AW175" s="170"/>
    </row>
    <row r="176" spans="1:81" ht="24" customHeight="1" thickBot="1">
      <c r="A176" s="96" t="s">
        <v>16</v>
      </c>
      <c r="B176" s="150" t="s">
        <v>295</v>
      </c>
      <c r="C176" s="274" t="s">
        <v>188</v>
      </c>
      <c r="D176" s="275"/>
      <c r="E176" s="275"/>
      <c r="F176" s="275"/>
      <c r="G176" s="275"/>
      <c r="H176" s="276"/>
      <c r="I176" s="277">
        <v>3</v>
      </c>
      <c r="J176" s="278"/>
      <c r="K176" s="279" t="str">
        <f>"Pool "&amp;B176&amp;" - Round 1 - Court "&amp;I176</f>
        <v>Pool C - Round 1 - Court 3</v>
      </c>
      <c r="L176" s="280"/>
      <c r="M176" s="280"/>
      <c r="N176" s="280"/>
      <c r="O176" s="280"/>
      <c r="P176" s="280"/>
      <c r="Q176" s="280"/>
      <c r="R176" s="280"/>
      <c r="S176" s="280"/>
      <c r="T176" s="280"/>
      <c r="U176" s="280"/>
      <c r="V176" s="280"/>
      <c r="W176" s="280"/>
      <c r="X176" s="280"/>
      <c r="Y176" s="280"/>
      <c r="Z176" s="280"/>
      <c r="AA176" s="280"/>
      <c r="AB176" s="280"/>
      <c r="AC176" s="280"/>
      <c r="AD176" s="280"/>
      <c r="AE176" s="280"/>
      <c r="AF176" s="280"/>
      <c r="AG176" s="280"/>
      <c r="AH176" s="280"/>
      <c r="AI176" s="280"/>
      <c r="AJ176" s="281"/>
      <c r="AK176" s="534"/>
      <c r="AL176" s="534"/>
      <c r="AM176" s="534"/>
      <c r="AN176" s="534"/>
      <c r="AO176" s="534"/>
      <c r="AP176" s="534"/>
      <c r="AQ176" s="534"/>
      <c r="AR176" s="534"/>
    </row>
    <row r="177" spans="1:44" ht="27" customHeight="1" thickBot="1">
      <c r="A177" s="97" t="s">
        <v>17</v>
      </c>
      <c r="B177" s="282" t="s">
        <v>5</v>
      </c>
      <c r="C177" s="295"/>
      <c r="D177" s="295"/>
      <c r="E177" s="295"/>
      <c r="F177" s="295"/>
      <c r="G177" s="295"/>
      <c r="H177" s="295"/>
      <c r="I177" s="295"/>
      <c r="J177" s="295"/>
      <c r="K177" s="295"/>
      <c r="L177" s="295"/>
      <c r="M177" s="282" t="str">
        <f>IF($AL180=0,"Games Won","Matches Won")</f>
        <v>Matches Won</v>
      </c>
      <c r="N177" s="295"/>
      <c r="O177" s="295"/>
      <c r="P177" s="295"/>
      <c r="Q177" s="295"/>
      <c r="R177" s="297"/>
      <c r="S177" s="282" t="str">
        <f>IF($AL180=0,"Games Lost","Matches Lost")</f>
        <v>Matches Lost</v>
      </c>
      <c r="T177" s="299"/>
      <c r="U177" s="299"/>
      <c r="V177" s="299"/>
      <c r="W177" s="300"/>
      <c r="X177" s="301" t="s">
        <v>18</v>
      </c>
      <c r="Y177" s="302"/>
      <c r="Z177" s="303"/>
      <c r="AA177" s="301" t="s">
        <v>189</v>
      </c>
      <c r="AB177" s="302"/>
      <c r="AC177" s="303"/>
      <c r="AD177" s="312" t="s">
        <v>19</v>
      </c>
      <c r="AE177" s="313"/>
      <c r="AF177" s="314"/>
      <c r="AG177" s="98" t="s">
        <v>20</v>
      </c>
      <c r="AH177" s="151" t="s">
        <v>4</v>
      </c>
      <c r="AI177" s="315" t="s">
        <v>21</v>
      </c>
      <c r="AJ177" s="316"/>
      <c r="AK177" s="99"/>
      <c r="AL177" s="100">
        <v>1</v>
      </c>
      <c r="AM177" s="101" t="s">
        <v>22</v>
      </c>
      <c r="AN177" s="101"/>
      <c r="AO177" s="101"/>
      <c r="AP177" s="101"/>
      <c r="AQ177" s="101"/>
      <c r="AR177" s="101"/>
    </row>
    <row r="178" spans="1:44" ht="18.75" customHeight="1">
      <c r="A178" s="562" t="str">
        <f>IF($AL179&gt;0,"1","")</f>
        <v>1</v>
      </c>
      <c r="B178" s="319" t="s">
        <v>5</v>
      </c>
      <c r="C178" s="320"/>
      <c r="D178" s="321"/>
      <c r="E178" s="322" t="str">
        <f>AU5</f>
        <v>Magnum 11 Black</v>
      </c>
      <c r="F178" s="323"/>
      <c r="G178" s="323"/>
      <c r="H178" s="323"/>
      <c r="I178" s="323"/>
      <c r="J178" s="323"/>
      <c r="K178" s="323"/>
      <c r="L178" s="324"/>
      <c r="M178" s="304">
        <f>IF($AL180=0,AG234,AG216)</f>
        <v>1</v>
      </c>
      <c r="N178" s="305"/>
      <c r="O178" s="305"/>
      <c r="P178" s="305"/>
      <c r="Q178" s="305"/>
      <c r="R178" s="297"/>
      <c r="S178" s="304">
        <f>IF($AL180=0,AH234,AH216)</f>
        <v>3</v>
      </c>
      <c r="T178" s="305"/>
      <c r="U178" s="305"/>
      <c r="V178" s="305"/>
      <c r="W178" s="305"/>
      <c r="X178" s="304">
        <f>AR194</f>
        <v>-5</v>
      </c>
      <c r="Y178" s="305"/>
      <c r="Z178" s="305"/>
      <c r="AA178" s="563">
        <f>IF(AG228&gt;0,(AR194/AG228),0)</f>
        <v>-6.4935064935064929E-2</v>
      </c>
      <c r="AB178" s="564"/>
      <c r="AC178" s="564"/>
      <c r="AD178" s="565">
        <f>IF(AG242=0,0,(AG234/AG242))</f>
        <v>0.25</v>
      </c>
      <c r="AE178" s="566"/>
      <c r="AF178" s="567"/>
      <c r="AG178" s="331">
        <v>2</v>
      </c>
      <c r="AH178" s="331">
        <v>4</v>
      </c>
      <c r="AI178" s="333"/>
      <c r="AJ178" s="334"/>
      <c r="AK178" s="99"/>
      <c r="AL178" s="100">
        <v>6</v>
      </c>
      <c r="AM178" s="101" t="s">
        <v>23</v>
      </c>
      <c r="AN178" s="101"/>
      <c r="AO178" s="101"/>
      <c r="AP178" s="101"/>
      <c r="AQ178" s="101"/>
      <c r="AR178" s="101"/>
    </row>
    <row r="179" spans="1:44" ht="18.75" customHeight="1" thickBot="1">
      <c r="A179" s="568"/>
      <c r="B179" s="337" t="s">
        <v>6</v>
      </c>
      <c r="C179" s="338"/>
      <c r="D179" s="339"/>
      <c r="E179" s="340" t="str">
        <f>AV5</f>
        <v>fj1magnm1pm</v>
      </c>
      <c r="F179" s="341"/>
      <c r="G179" s="341"/>
      <c r="H179" s="341"/>
      <c r="I179" s="341"/>
      <c r="J179" s="341"/>
      <c r="K179" s="341"/>
      <c r="L179" s="341"/>
      <c r="M179" s="306"/>
      <c r="N179" s="307"/>
      <c r="O179" s="307"/>
      <c r="P179" s="307"/>
      <c r="Q179" s="307"/>
      <c r="R179" s="297"/>
      <c r="S179" s="306"/>
      <c r="T179" s="307"/>
      <c r="U179" s="307"/>
      <c r="V179" s="307"/>
      <c r="W179" s="307"/>
      <c r="X179" s="306"/>
      <c r="Y179" s="307"/>
      <c r="Z179" s="307"/>
      <c r="AA179" s="569"/>
      <c r="AB179" s="570"/>
      <c r="AC179" s="570"/>
      <c r="AD179" s="571"/>
      <c r="AE179" s="572"/>
      <c r="AF179" s="573"/>
      <c r="AG179" s="332"/>
      <c r="AH179" s="332"/>
      <c r="AI179" s="335"/>
      <c r="AJ179" s="336"/>
      <c r="AK179" s="99"/>
      <c r="AL179" s="100">
        <v>3</v>
      </c>
      <c r="AM179" s="101" t="s">
        <v>190</v>
      </c>
      <c r="AN179" s="99"/>
      <c r="AO179" s="99"/>
      <c r="AP179" s="99"/>
      <c r="AQ179" s="99"/>
      <c r="AR179" s="99"/>
    </row>
    <row r="180" spans="1:44" ht="18.75" customHeight="1">
      <c r="A180" s="562" t="str">
        <f>IF($AL179&gt;1,"2","")</f>
        <v>2</v>
      </c>
      <c r="B180" s="319" t="s">
        <v>5</v>
      </c>
      <c r="C180" s="320"/>
      <c r="D180" s="321"/>
      <c r="E180" s="322" t="str">
        <f>AU6</f>
        <v>SC Midlands KP Gray</v>
      </c>
      <c r="F180" s="323"/>
      <c r="G180" s="323"/>
      <c r="H180" s="323"/>
      <c r="I180" s="323"/>
      <c r="J180" s="323"/>
      <c r="K180" s="323"/>
      <c r="L180" s="324"/>
      <c r="M180" s="304">
        <f>IF($AL180=0,AG235,AG217)</f>
        <v>1</v>
      </c>
      <c r="N180" s="305"/>
      <c r="O180" s="305"/>
      <c r="P180" s="305"/>
      <c r="Q180" s="305"/>
      <c r="R180" s="297"/>
      <c r="S180" s="304">
        <f>IF($AL180=0,AH235,AH217)</f>
        <v>3</v>
      </c>
      <c r="T180" s="305"/>
      <c r="U180" s="305"/>
      <c r="V180" s="305"/>
      <c r="W180" s="305"/>
      <c r="X180" s="304">
        <f>AR195</f>
        <v>-16</v>
      </c>
      <c r="Y180" s="305"/>
      <c r="Z180" s="305"/>
      <c r="AA180" s="563">
        <f>IF(AG229&gt;0,(AR195/AG229),0)</f>
        <v>-0.18823529411764706</v>
      </c>
      <c r="AB180" s="564"/>
      <c r="AC180" s="564"/>
      <c r="AD180" s="565">
        <f>IF(AG243=0,0,(AG235/AG243))</f>
        <v>0.25</v>
      </c>
      <c r="AE180" s="566"/>
      <c r="AF180" s="567"/>
      <c r="AG180" s="331">
        <v>3</v>
      </c>
      <c r="AH180" s="331">
        <v>4</v>
      </c>
      <c r="AI180" s="333"/>
      <c r="AJ180" s="334"/>
      <c r="AK180" s="99"/>
      <c r="AL180" s="100">
        <v>1</v>
      </c>
      <c r="AM180" s="101" t="s">
        <v>24</v>
      </c>
      <c r="AN180" s="101"/>
      <c r="AO180" s="101"/>
      <c r="AP180" s="101"/>
      <c r="AQ180" s="101"/>
      <c r="AR180" s="101"/>
    </row>
    <row r="181" spans="1:44" ht="18.75" customHeight="1" thickBot="1">
      <c r="A181" s="568"/>
      <c r="B181" s="342" t="s">
        <v>6</v>
      </c>
      <c r="C181" s="343"/>
      <c r="D181" s="343"/>
      <c r="E181" s="340" t="str">
        <f>AV6</f>
        <v>fj2scmid4pm</v>
      </c>
      <c r="F181" s="341"/>
      <c r="G181" s="341"/>
      <c r="H181" s="341"/>
      <c r="I181" s="341"/>
      <c r="J181" s="341"/>
      <c r="K181" s="341"/>
      <c r="L181" s="341"/>
      <c r="M181" s="306"/>
      <c r="N181" s="307"/>
      <c r="O181" s="307"/>
      <c r="P181" s="307"/>
      <c r="Q181" s="307"/>
      <c r="R181" s="297"/>
      <c r="S181" s="306"/>
      <c r="T181" s="307"/>
      <c r="U181" s="307"/>
      <c r="V181" s="307"/>
      <c r="W181" s="307"/>
      <c r="X181" s="306"/>
      <c r="Y181" s="307"/>
      <c r="Z181" s="307"/>
      <c r="AA181" s="569"/>
      <c r="AB181" s="570"/>
      <c r="AC181" s="570"/>
      <c r="AD181" s="571"/>
      <c r="AE181" s="572"/>
      <c r="AF181" s="573"/>
      <c r="AG181" s="332"/>
      <c r="AH181" s="332"/>
      <c r="AI181" s="335"/>
      <c r="AJ181" s="336"/>
      <c r="AK181" s="99"/>
      <c r="AL181" s="100">
        <v>1</v>
      </c>
      <c r="AM181" s="101" t="s">
        <v>25</v>
      </c>
      <c r="AN181" s="99"/>
      <c r="AO181" s="99"/>
      <c r="AP181" s="99"/>
      <c r="AQ181" s="99"/>
      <c r="AR181" s="99"/>
    </row>
    <row r="182" spans="1:44" ht="18.75" customHeight="1">
      <c r="A182" s="562" t="str">
        <f>IF($AL179&gt;2,"3","")</f>
        <v>3</v>
      </c>
      <c r="B182" s="344" t="s">
        <v>5</v>
      </c>
      <c r="C182" s="345"/>
      <c r="D182" s="345"/>
      <c r="E182" s="322" t="str">
        <f>AU11</f>
        <v>USA 12 Purple</v>
      </c>
      <c r="F182" s="323"/>
      <c r="G182" s="323"/>
      <c r="H182" s="323"/>
      <c r="I182" s="323"/>
      <c r="J182" s="323"/>
      <c r="K182" s="323"/>
      <c r="L182" s="324"/>
      <c r="M182" s="304">
        <f>IF($AL180=0,AG236,AG218)</f>
        <v>4</v>
      </c>
      <c r="N182" s="305"/>
      <c r="O182" s="305"/>
      <c r="P182" s="305"/>
      <c r="Q182" s="305"/>
      <c r="R182" s="297"/>
      <c r="S182" s="304">
        <f>IF($AL180=0,AH236,AH218)</f>
        <v>0</v>
      </c>
      <c r="T182" s="305"/>
      <c r="U182" s="305"/>
      <c r="V182" s="305"/>
      <c r="W182" s="305"/>
      <c r="X182" s="304">
        <f>AR196</f>
        <v>21</v>
      </c>
      <c r="Y182" s="305"/>
      <c r="Z182" s="305"/>
      <c r="AA182" s="563">
        <f>IF(AG230&gt;0,(AR196/AG230),0)</f>
        <v>0.25</v>
      </c>
      <c r="AB182" s="564"/>
      <c r="AC182" s="564"/>
      <c r="AD182" s="565">
        <f>IF(AG244=0,0,(AG236/AG244))</f>
        <v>1</v>
      </c>
      <c r="AE182" s="566"/>
      <c r="AF182" s="567"/>
      <c r="AG182" s="331">
        <v>1</v>
      </c>
      <c r="AH182" s="331">
        <v>1</v>
      </c>
      <c r="AI182" s="333"/>
      <c r="AJ182" s="334"/>
      <c r="AK182" s="103"/>
      <c r="AL182" s="100">
        <v>4</v>
      </c>
      <c r="AM182" s="152" t="s">
        <v>191</v>
      </c>
      <c r="AN182" s="101"/>
      <c r="AO182" s="101"/>
      <c r="AP182" s="101"/>
      <c r="AQ182" s="101"/>
      <c r="AR182" s="101"/>
    </row>
    <row r="183" spans="1:44" ht="18.75" customHeight="1" thickBot="1">
      <c r="A183" s="568"/>
      <c r="B183" s="342" t="s">
        <v>6</v>
      </c>
      <c r="C183" s="343"/>
      <c r="D183" s="343"/>
      <c r="E183" s="340" t="str">
        <f>AV11</f>
        <v>fj2unsel2cr</v>
      </c>
      <c r="F183" s="341"/>
      <c r="G183" s="341"/>
      <c r="H183" s="341"/>
      <c r="I183" s="341"/>
      <c r="J183" s="341"/>
      <c r="K183" s="341"/>
      <c r="L183" s="341"/>
      <c r="M183" s="306"/>
      <c r="N183" s="307"/>
      <c r="O183" s="307"/>
      <c r="P183" s="307"/>
      <c r="Q183" s="307"/>
      <c r="R183" s="297"/>
      <c r="S183" s="306"/>
      <c r="T183" s="307"/>
      <c r="U183" s="307"/>
      <c r="V183" s="307"/>
      <c r="W183" s="307"/>
      <c r="X183" s="306"/>
      <c r="Y183" s="307"/>
      <c r="Z183" s="307"/>
      <c r="AA183" s="569"/>
      <c r="AB183" s="570"/>
      <c r="AC183" s="570"/>
      <c r="AD183" s="571"/>
      <c r="AE183" s="572"/>
      <c r="AF183" s="573"/>
      <c r="AG183" s="332"/>
      <c r="AH183" s="332"/>
      <c r="AI183" s="335"/>
      <c r="AJ183" s="336"/>
      <c r="AK183" s="103"/>
      <c r="AL183" s="153"/>
      <c r="AM183" s="154"/>
      <c r="AN183" s="154"/>
      <c r="AO183" s="154"/>
      <c r="AP183" s="154"/>
      <c r="AQ183" s="154"/>
      <c r="AR183" s="99"/>
    </row>
    <row r="184" spans="1:44" ht="18.75" customHeight="1">
      <c r="A184" s="562" t="str">
        <f>IF($AL179&gt;3,"4","")</f>
        <v/>
      </c>
      <c r="B184" s="344" t="s">
        <v>5</v>
      </c>
      <c r="C184" s="345"/>
      <c r="D184" s="345"/>
      <c r="E184" s="346">
        <f>AU14</f>
        <v>0</v>
      </c>
      <c r="F184" s="347"/>
      <c r="G184" s="347"/>
      <c r="H184" s="347"/>
      <c r="I184" s="347"/>
      <c r="J184" s="347"/>
      <c r="K184" s="347"/>
      <c r="L184" s="348"/>
      <c r="M184" s="304">
        <f>IF($AL180=0,AG237,AG219)</f>
        <v>0</v>
      </c>
      <c r="N184" s="305"/>
      <c r="O184" s="305"/>
      <c r="P184" s="305"/>
      <c r="Q184" s="305"/>
      <c r="R184" s="297"/>
      <c r="S184" s="304">
        <f>IF($AL180=0,AH237,AH219)</f>
        <v>0</v>
      </c>
      <c r="T184" s="305"/>
      <c r="U184" s="305"/>
      <c r="V184" s="305"/>
      <c r="W184" s="305"/>
      <c r="X184" s="304">
        <f>AR197</f>
        <v>0</v>
      </c>
      <c r="Y184" s="305"/>
      <c r="Z184" s="305"/>
      <c r="AA184" s="563">
        <f>IF(AG231&gt;0,(AR197/AG231),0)</f>
        <v>0</v>
      </c>
      <c r="AB184" s="564"/>
      <c r="AC184" s="564"/>
      <c r="AD184" s="565">
        <f>IF(AG245=0,0,(AG237/AG245))</f>
        <v>0</v>
      </c>
      <c r="AE184" s="566"/>
      <c r="AF184" s="567"/>
      <c r="AG184" s="331"/>
      <c r="AH184" s="331"/>
      <c r="AI184" s="333"/>
      <c r="AJ184" s="334"/>
      <c r="AK184" s="534"/>
      <c r="AL184" s="154"/>
      <c r="AM184" s="154"/>
      <c r="AN184" s="154"/>
      <c r="AO184" s="154"/>
      <c r="AP184" s="154"/>
      <c r="AQ184" s="154"/>
      <c r="AR184" s="101"/>
    </row>
    <row r="185" spans="1:44" ht="18.75" customHeight="1" thickBot="1">
      <c r="A185" s="568"/>
      <c r="B185" s="342" t="s">
        <v>6</v>
      </c>
      <c r="C185" s="343"/>
      <c r="D185" s="343"/>
      <c r="E185" s="757">
        <f>AV14</f>
        <v>0</v>
      </c>
      <c r="F185" s="758"/>
      <c r="G185" s="758"/>
      <c r="H185" s="758"/>
      <c r="I185" s="758"/>
      <c r="J185" s="758"/>
      <c r="K185" s="758"/>
      <c r="L185" s="758"/>
      <c r="M185" s="306"/>
      <c r="N185" s="307"/>
      <c r="O185" s="307"/>
      <c r="P185" s="307"/>
      <c r="Q185" s="307"/>
      <c r="R185" s="297"/>
      <c r="S185" s="306"/>
      <c r="T185" s="307"/>
      <c r="U185" s="307"/>
      <c r="V185" s="307"/>
      <c r="W185" s="307"/>
      <c r="X185" s="306"/>
      <c r="Y185" s="307"/>
      <c r="Z185" s="307"/>
      <c r="AA185" s="569"/>
      <c r="AB185" s="570"/>
      <c r="AC185" s="570"/>
      <c r="AD185" s="571"/>
      <c r="AE185" s="572"/>
      <c r="AF185" s="573"/>
      <c r="AG185" s="332"/>
      <c r="AH185" s="332"/>
      <c r="AI185" s="335"/>
      <c r="AJ185" s="336"/>
      <c r="AK185" s="534"/>
      <c r="AL185" s="154"/>
      <c r="AM185" s="154"/>
      <c r="AN185" s="154"/>
      <c r="AO185" s="154"/>
      <c r="AP185" s="154"/>
      <c r="AQ185" s="154"/>
      <c r="AR185" s="534"/>
    </row>
    <row r="186" spans="1:44" ht="18.75" customHeight="1">
      <c r="A186" s="562" t="str">
        <f>IF($AL179&gt;4,"5","")</f>
        <v/>
      </c>
      <c r="B186" s="344" t="s">
        <v>5</v>
      </c>
      <c r="C186" s="345"/>
      <c r="D186" s="345"/>
      <c r="E186" s="346">
        <f>AU17</f>
        <v>0</v>
      </c>
      <c r="F186" s="347"/>
      <c r="G186" s="347"/>
      <c r="H186" s="347"/>
      <c r="I186" s="347"/>
      <c r="J186" s="347"/>
      <c r="K186" s="347"/>
      <c r="L186" s="348"/>
      <c r="M186" s="304">
        <f>IF($AL180=0,AG238,AG220)</f>
        <v>0</v>
      </c>
      <c r="N186" s="305"/>
      <c r="O186" s="305"/>
      <c r="P186" s="305"/>
      <c r="Q186" s="305"/>
      <c r="R186" s="297"/>
      <c r="S186" s="304">
        <f>IF($AL180=0,AH238,AH220)</f>
        <v>0</v>
      </c>
      <c r="T186" s="305"/>
      <c r="U186" s="305"/>
      <c r="V186" s="305"/>
      <c r="W186" s="305"/>
      <c r="X186" s="304">
        <f>AR198</f>
        <v>0</v>
      </c>
      <c r="Y186" s="305"/>
      <c r="Z186" s="305"/>
      <c r="AA186" s="563">
        <f>IF(AG232&gt;0,(AR198/AG232),0)</f>
        <v>0</v>
      </c>
      <c r="AB186" s="564"/>
      <c r="AC186" s="564"/>
      <c r="AD186" s="565">
        <f>IF(AG246=0,0,(AG238/AG246))</f>
        <v>0</v>
      </c>
      <c r="AE186" s="566"/>
      <c r="AF186" s="567"/>
      <c r="AG186" s="331"/>
      <c r="AH186" s="331"/>
      <c r="AI186" s="333"/>
      <c r="AJ186" s="334"/>
      <c r="AK186" s="534"/>
      <c r="AL186" s="154"/>
      <c r="AM186" s="154"/>
      <c r="AN186" s="154"/>
      <c r="AO186" s="154"/>
      <c r="AP186" s="154"/>
      <c r="AQ186" s="154"/>
      <c r="AR186" s="534"/>
    </row>
    <row r="187" spans="1:44" ht="18.75" customHeight="1" thickBot="1">
      <c r="A187" s="568"/>
      <c r="B187" s="359" t="s">
        <v>6</v>
      </c>
      <c r="C187" s="360"/>
      <c r="D187" s="360"/>
      <c r="E187" s="361">
        <f>AV17</f>
        <v>0</v>
      </c>
      <c r="F187" s="362"/>
      <c r="G187" s="362"/>
      <c r="H187" s="362"/>
      <c r="I187" s="362"/>
      <c r="J187" s="362"/>
      <c r="K187" s="362"/>
      <c r="L187" s="362"/>
      <c r="M187" s="349"/>
      <c r="N187" s="350"/>
      <c r="O187" s="350"/>
      <c r="P187" s="350"/>
      <c r="Q187" s="350"/>
      <c r="R187" s="297"/>
      <c r="S187" s="306"/>
      <c r="T187" s="307"/>
      <c r="U187" s="307"/>
      <c r="V187" s="307"/>
      <c r="W187" s="307"/>
      <c r="X187" s="306"/>
      <c r="Y187" s="307"/>
      <c r="Z187" s="307"/>
      <c r="AA187" s="569"/>
      <c r="AB187" s="570"/>
      <c r="AC187" s="570"/>
      <c r="AD187" s="571"/>
      <c r="AE187" s="572"/>
      <c r="AF187" s="573"/>
      <c r="AG187" s="332"/>
      <c r="AH187" s="356"/>
      <c r="AI187" s="335"/>
      <c r="AJ187" s="336"/>
      <c r="AK187" s="534"/>
      <c r="AL187" s="154"/>
      <c r="AM187" s="154"/>
      <c r="AN187" s="154"/>
      <c r="AO187" s="154"/>
      <c r="AP187" s="154"/>
      <c r="AQ187" s="154"/>
      <c r="AR187" s="534"/>
    </row>
    <row r="188" spans="1:44" ht="21" customHeight="1" thickTop="1" thickBot="1">
      <c r="A188" s="106"/>
      <c r="B188" s="363" t="s">
        <v>1251</v>
      </c>
      <c r="C188" s="364"/>
      <c r="D188" s="364"/>
      <c r="E188" s="364"/>
      <c r="F188" s="364"/>
      <c r="G188" s="364"/>
      <c r="H188" s="364"/>
      <c r="I188" s="364"/>
      <c r="J188" s="364"/>
      <c r="K188" s="364"/>
      <c r="L188" s="364"/>
      <c r="M188" s="364"/>
      <c r="N188" s="364"/>
      <c r="O188" s="364"/>
      <c r="P188" s="364"/>
      <c r="Q188" s="364"/>
      <c r="R188" s="364"/>
      <c r="S188" s="364"/>
      <c r="T188" s="364"/>
      <c r="U188" s="364"/>
      <c r="V188" s="364"/>
      <c r="W188" s="364"/>
      <c r="X188" s="364"/>
      <c r="Y188" s="364"/>
      <c r="Z188" s="364"/>
      <c r="AA188" s="364"/>
      <c r="AB188" s="364"/>
      <c r="AC188" s="364"/>
      <c r="AD188" s="364"/>
      <c r="AE188" s="364"/>
      <c r="AF188" s="364"/>
      <c r="AG188" s="364"/>
      <c r="AH188" s="364"/>
      <c r="AI188" s="364"/>
      <c r="AJ188" s="365"/>
      <c r="AK188" s="534"/>
      <c r="AL188" s="154"/>
      <c r="AM188" s="154"/>
      <c r="AN188" s="154"/>
      <c r="AO188" s="154"/>
      <c r="AP188" s="154"/>
      <c r="AQ188" s="154"/>
      <c r="AR188" s="534"/>
    </row>
    <row r="189" spans="1:44" ht="13.5" customHeight="1" thickTop="1">
      <c r="A189" s="3" t="s">
        <v>27</v>
      </c>
      <c r="B189" s="372">
        <v>0.35416666666666669</v>
      </c>
      <c r="C189" s="373"/>
      <c r="D189" s="374"/>
      <c r="E189" s="372">
        <v>0.39583333333333331</v>
      </c>
      <c r="F189" s="373"/>
      <c r="G189" s="374"/>
      <c r="H189" s="372">
        <v>0.4375</v>
      </c>
      <c r="I189" s="373"/>
      <c r="J189" s="374"/>
      <c r="K189" s="587" t="s">
        <v>1252</v>
      </c>
      <c r="L189" s="372">
        <v>0.5</v>
      </c>
      <c r="M189" s="373"/>
      <c r="N189" s="374"/>
      <c r="O189" s="372">
        <v>4.1666666666666664E-2</v>
      </c>
      <c r="P189" s="373"/>
      <c r="Q189" s="374"/>
      <c r="R189" s="372">
        <v>8.3333333333333329E-2</v>
      </c>
      <c r="S189" s="373"/>
      <c r="T189" s="374"/>
      <c r="U189" s="372">
        <v>4.1666666666666664E-2</v>
      </c>
      <c r="V189" s="373"/>
      <c r="W189" s="374"/>
      <c r="X189" s="372">
        <v>7.2916666666666671E-2</v>
      </c>
      <c r="Y189" s="373"/>
      <c r="Z189" s="374"/>
      <c r="AA189" s="372">
        <v>0.10416666666666667</v>
      </c>
      <c r="AB189" s="373"/>
      <c r="AC189" s="374"/>
      <c r="AD189" s="372">
        <v>0.13541666666666666</v>
      </c>
      <c r="AE189" s="373"/>
      <c r="AF189" s="374"/>
      <c r="AG189" s="375" t="s">
        <v>199</v>
      </c>
      <c r="AH189" s="376"/>
      <c r="AI189" s="376"/>
      <c r="AJ189" s="376"/>
      <c r="AK189" s="377"/>
      <c r="AL189" s="377"/>
      <c r="AM189" s="377"/>
      <c r="AN189" s="377"/>
      <c r="AO189" s="377"/>
      <c r="AP189" s="377"/>
      <c r="AQ189" s="377"/>
      <c r="AR189" s="378"/>
    </row>
    <row r="190" spans="1:44">
      <c r="A190" s="107" t="s">
        <v>28</v>
      </c>
      <c r="B190" s="383"/>
      <c r="C190" s="384"/>
      <c r="D190" s="385"/>
      <c r="E190" s="383"/>
      <c r="F190" s="384"/>
      <c r="G190" s="385"/>
      <c r="H190" s="383"/>
      <c r="I190" s="384"/>
      <c r="J190" s="385"/>
      <c r="K190" s="588"/>
      <c r="L190" s="383"/>
      <c r="M190" s="384"/>
      <c r="N190" s="385"/>
      <c r="O190" s="383"/>
      <c r="P190" s="384"/>
      <c r="Q190" s="385"/>
      <c r="R190" s="383"/>
      <c r="S190" s="384"/>
      <c r="T190" s="385"/>
      <c r="U190" s="383"/>
      <c r="V190" s="384"/>
      <c r="W190" s="385"/>
      <c r="X190" s="383"/>
      <c r="Y190" s="384"/>
      <c r="Z190" s="385"/>
      <c r="AA190" s="383"/>
      <c r="AB190" s="384"/>
      <c r="AC190" s="385"/>
      <c r="AD190" s="383"/>
      <c r="AE190" s="384"/>
      <c r="AF190" s="385"/>
      <c r="AG190" s="375"/>
      <c r="AH190" s="376"/>
      <c r="AI190" s="376"/>
      <c r="AJ190" s="376"/>
      <c r="AK190" s="376"/>
      <c r="AL190" s="376"/>
      <c r="AM190" s="376"/>
      <c r="AN190" s="376"/>
      <c r="AO190" s="376"/>
      <c r="AP190" s="376"/>
      <c r="AQ190" s="376"/>
      <c r="AR190" s="379"/>
    </row>
    <row r="191" spans="1:44">
      <c r="A191" s="107" t="s">
        <v>29</v>
      </c>
      <c r="B191" s="383"/>
      <c r="C191" s="384"/>
      <c r="D191" s="385"/>
      <c r="E191" s="383"/>
      <c r="F191" s="384"/>
      <c r="G191" s="385"/>
      <c r="H191" s="383"/>
      <c r="I191" s="384"/>
      <c r="J191" s="385"/>
      <c r="K191" s="588"/>
      <c r="L191" s="383"/>
      <c r="M191" s="384"/>
      <c r="N191" s="385"/>
      <c r="O191" s="383"/>
      <c r="P191" s="384"/>
      <c r="Q191" s="385"/>
      <c r="R191" s="383"/>
      <c r="S191" s="384"/>
      <c r="T191" s="385"/>
      <c r="U191" s="383"/>
      <c r="V191" s="384"/>
      <c r="W191" s="385"/>
      <c r="X191" s="383"/>
      <c r="Y191" s="384"/>
      <c r="Z191" s="385"/>
      <c r="AA191" s="383"/>
      <c r="AB191" s="384"/>
      <c r="AC191" s="385"/>
      <c r="AD191" s="383"/>
      <c r="AE191" s="384"/>
      <c r="AF191" s="385"/>
      <c r="AG191" s="375"/>
      <c r="AH191" s="376"/>
      <c r="AI191" s="376"/>
      <c r="AJ191" s="376"/>
      <c r="AK191" s="376"/>
      <c r="AL191" s="376"/>
      <c r="AM191" s="376"/>
      <c r="AN191" s="376"/>
      <c r="AO191" s="376"/>
      <c r="AP191" s="376"/>
      <c r="AQ191" s="376"/>
      <c r="AR191" s="379"/>
    </row>
    <row r="192" spans="1:44" ht="13.5" thickBot="1">
      <c r="A192" s="534"/>
      <c r="B192" s="386" t="s">
        <v>30</v>
      </c>
      <c r="C192" s="387"/>
      <c r="D192" s="388"/>
      <c r="E192" s="386" t="str">
        <f>IF(AL178&gt;1,"Match 2","")</f>
        <v>Match 2</v>
      </c>
      <c r="F192" s="387"/>
      <c r="G192" s="388"/>
      <c r="H192" s="386" t="str">
        <f>IF(AL178&gt;2,"Match 3","")</f>
        <v>Match 3</v>
      </c>
      <c r="I192" s="387"/>
      <c r="J192" s="388"/>
      <c r="K192" s="588"/>
      <c r="L192" s="386" t="str">
        <f>IF(AL178&gt;3,"Match 4","")</f>
        <v>Match 4</v>
      </c>
      <c r="M192" s="387"/>
      <c r="N192" s="388"/>
      <c r="O192" s="386" t="str">
        <f>IF(AL178&gt;4,"Match 5","")</f>
        <v>Match 5</v>
      </c>
      <c r="P192" s="387"/>
      <c r="Q192" s="388"/>
      <c r="R192" s="386" t="str">
        <f>IF(AL178&gt;5,"Match 6","")</f>
        <v>Match 6</v>
      </c>
      <c r="S192" s="387"/>
      <c r="T192" s="388"/>
      <c r="U192" s="386" t="str">
        <f>IF(AL178&gt;6,"Match 7","")</f>
        <v/>
      </c>
      <c r="V192" s="387"/>
      <c r="W192" s="388"/>
      <c r="X192" s="386" t="str">
        <f>IF(AL178&gt;7,"Match 8","")</f>
        <v/>
      </c>
      <c r="Y192" s="387"/>
      <c r="Z192" s="388"/>
      <c r="AA192" s="386" t="str">
        <f>IF(AL178&gt;8,"Match 9","")</f>
        <v/>
      </c>
      <c r="AB192" s="387"/>
      <c r="AC192" s="388"/>
      <c r="AD192" s="386" t="str">
        <f>IF(AL178&gt;9,"Match 10","")</f>
        <v/>
      </c>
      <c r="AE192" s="387"/>
      <c r="AF192" s="388"/>
      <c r="AG192" s="380"/>
      <c r="AH192" s="381"/>
      <c r="AI192" s="381"/>
      <c r="AJ192" s="381"/>
      <c r="AK192" s="381"/>
      <c r="AL192" s="381"/>
      <c r="AM192" s="381"/>
      <c r="AN192" s="381"/>
      <c r="AO192" s="381"/>
      <c r="AP192" s="381"/>
      <c r="AQ192" s="381"/>
      <c r="AR192" s="382"/>
    </row>
    <row r="193" spans="1:49" ht="15.75">
      <c r="A193" s="534"/>
      <c r="B193" s="389" t="s">
        <v>33</v>
      </c>
      <c r="C193" s="390"/>
      <c r="D193" s="391"/>
      <c r="E193" s="389" t="s">
        <v>31</v>
      </c>
      <c r="F193" s="390"/>
      <c r="G193" s="391"/>
      <c r="H193" s="389" t="s">
        <v>32</v>
      </c>
      <c r="I193" s="390"/>
      <c r="J193" s="391"/>
      <c r="K193" s="588"/>
      <c r="L193" s="389" t="s">
        <v>33</v>
      </c>
      <c r="M193" s="390"/>
      <c r="N193" s="391"/>
      <c r="O193" s="389" t="s">
        <v>31</v>
      </c>
      <c r="P193" s="390"/>
      <c r="Q193" s="391"/>
      <c r="R193" s="389" t="s">
        <v>32</v>
      </c>
      <c r="S193" s="390"/>
      <c r="T193" s="391"/>
      <c r="U193" s="389" t="s">
        <v>293</v>
      </c>
      <c r="V193" s="390"/>
      <c r="W193" s="391"/>
      <c r="X193" s="389" t="s">
        <v>32</v>
      </c>
      <c r="Y193" s="390"/>
      <c r="Z193" s="391"/>
      <c r="AA193" s="389" t="s">
        <v>1214</v>
      </c>
      <c r="AB193" s="390"/>
      <c r="AC193" s="391"/>
      <c r="AD193" s="389" t="s">
        <v>33</v>
      </c>
      <c r="AE193" s="390"/>
      <c r="AF193" s="391"/>
      <c r="AG193" s="581" t="s">
        <v>34</v>
      </c>
      <c r="AH193" s="108">
        <v>1</v>
      </c>
      <c r="AI193" s="108">
        <v>2</v>
      </c>
      <c r="AJ193" s="108">
        <v>3</v>
      </c>
      <c r="AK193" s="108">
        <v>4</v>
      </c>
      <c r="AL193" s="108">
        <v>5</v>
      </c>
      <c r="AM193" s="108">
        <v>6</v>
      </c>
      <c r="AN193" s="108">
        <v>7</v>
      </c>
      <c r="AO193" s="108">
        <v>8</v>
      </c>
      <c r="AP193" s="108">
        <v>9</v>
      </c>
      <c r="AQ193" s="108">
        <v>10</v>
      </c>
      <c r="AR193" s="582" t="s">
        <v>200</v>
      </c>
    </row>
    <row r="194" spans="1:49" ht="15.75">
      <c r="A194" s="534"/>
      <c r="B194" s="109">
        <v>1</v>
      </c>
      <c r="C194" s="110" t="s">
        <v>35</v>
      </c>
      <c r="D194" s="111">
        <v>2</v>
      </c>
      <c r="E194" s="109">
        <v>2</v>
      </c>
      <c r="F194" s="110" t="str">
        <f>IF(AL178&gt;1,"v","")</f>
        <v>v</v>
      </c>
      <c r="G194" s="111">
        <v>3</v>
      </c>
      <c r="H194" s="109">
        <v>1</v>
      </c>
      <c r="I194" s="110" t="str">
        <f>IF(AL178&gt;2,"v","")</f>
        <v>v</v>
      </c>
      <c r="J194" s="111">
        <v>3</v>
      </c>
      <c r="K194" s="588"/>
      <c r="L194" s="109">
        <v>1</v>
      </c>
      <c r="M194" s="110" t="str">
        <f>IF(AL178&gt;3,"v","")</f>
        <v>v</v>
      </c>
      <c r="N194" s="111">
        <v>2</v>
      </c>
      <c r="O194" s="109">
        <v>2</v>
      </c>
      <c r="P194" s="110" t="str">
        <f>IF(AL178&gt;4,"v","")</f>
        <v>v</v>
      </c>
      <c r="Q194" s="111">
        <v>3</v>
      </c>
      <c r="R194" s="109">
        <v>1</v>
      </c>
      <c r="S194" s="110" t="str">
        <f>IF(AL178&gt;5,"v","")</f>
        <v>v</v>
      </c>
      <c r="T194" s="111">
        <v>3</v>
      </c>
      <c r="U194" s="109">
        <v>2</v>
      </c>
      <c r="V194" s="110" t="str">
        <f>IF(AL178&gt;6,"v","")</f>
        <v/>
      </c>
      <c r="W194" s="111">
        <v>3</v>
      </c>
      <c r="X194" s="109">
        <v>1</v>
      </c>
      <c r="Y194" s="110" t="str">
        <f>IF(AL178&gt;7,"v","")</f>
        <v/>
      </c>
      <c r="Z194" s="111">
        <v>5</v>
      </c>
      <c r="AA194" s="109">
        <v>3</v>
      </c>
      <c r="AB194" s="110" t="str">
        <f>IF(AL178&gt;8,"v","")</f>
        <v/>
      </c>
      <c r="AC194" s="111">
        <v>4</v>
      </c>
      <c r="AD194" s="109">
        <v>1</v>
      </c>
      <c r="AE194" s="110" t="str">
        <f>IF(AL178&gt;9,"v","")</f>
        <v/>
      </c>
      <c r="AF194" s="111">
        <v>2</v>
      </c>
      <c r="AG194" s="583" t="str">
        <f>IF(AL179&gt;0,"Team 1","")</f>
        <v>Team 1</v>
      </c>
      <c r="AH194" s="584">
        <f>IF(AL179&lt;1,"",IF(AL178&lt;1,"",IF(B194=1,B200-D200,IF(D194=1,D200-B200,""))))</f>
        <v>2</v>
      </c>
      <c r="AI194" s="584" t="str">
        <f>IF(AL179&lt;1,"",IF(AL178&lt;2,"",IF(E194=1,E200-G200,IF(G194=1,G200-E200,""))))</f>
        <v/>
      </c>
      <c r="AJ194" s="584">
        <f>IF(AL179&lt;1,"",IF(AL178&lt;3,"",IF(H194=1,H200-J200,IF(J194=1,J200-H200,""))))</f>
        <v>-2</v>
      </c>
      <c r="AK194" s="584">
        <f>IF(AL179&lt;1,"",IF(AL178&lt;4,"",IF(L194=1,L200-N200,IF(N194=1,N200-L200,""))))</f>
        <v>-3</v>
      </c>
      <c r="AL194" s="584" t="str">
        <f>IF(AL179&lt;1,"",IF(AL178&lt;5,"",IF(O194=1,O200-Q200,IF(Q194=1,Q200-O200,""))))</f>
        <v/>
      </c>
      <c r="AM194" s="584">
        <f>IF(AL179&lt;1,"",IF(AL178&lt;6,"",IF(R194=1,R200-T200,IF(T194=1,T200-R200,""))))</f>
        <v>-2</v>
      </c>
      <c r="AN194" s="584" t="str">
        <f>IF(AL179&lt;1,"",IF(AL178&lt;7,"",IF(U194=1,U200-W200,IF(W194=1,W200-U200,""))))</f>
        <v/>
      </c>
      <c r="AO194" s="584" t="str">
        <f>IF(AL179&lt;1,"",IF(AL178&lt;8,"",IF(X194=1,X200-Z200,IF(Z194=1,Z200-X200,""))))</f>
        <v/>
      </c>
      <c r="AP194" s="584" t="str">
        <f>IF(AL179&lt;1,"",IF(AL178&lt;9,"",IF(AA194=1,AA200-AC200,IF(AC194=1,AC200-AA200,""))))</f>
        <v/>
      </c>
      <c r="AQ194" s="584" t="str">
        <f>IF(AL179&lt;1,"",IF(AL178&lt;10,"",IF(AD194=1,AD200-AF200,IF(AF194=1,AF200-AD200,""))))</f>
        <v/>
      </c>
      <c r="AR194" s="582">
        <f>SUM(AH194:AQ194)</f>
        <v>-5</v>
      </c>
    </row>
    <row r="195" spans="1:49" ht="15">
      <c r="A195" s="3" t="s">
        <v>36</v>
      </c>
      <c r="B195" s="112">
        <v>19</v>
      </c>
      <c r="C195" s="113" t="s">
        <v>37</v>
      </c>
      <c r="D195" s="114">
        <v>17</v>
      </c>
      <c r="E195" s="112">
        <v>15</v>
      </c>
      <c r="F195" s="113" t="str">
        <f>IF(AL178&gt;1,"/","")</f>
        <v>/</v>
      </c>
      <c r="G195" s="114">
        <v>22</v>
      </c>
      <c r="H195" s="112">
        <v>17</v>
      </c>
      <c r="I195" s="113" t="str">
        <f>IF(AL178&gt;2,"/","")</f>
        <v>/</v>
      </c>
      <c r="J195" s="114">
        <v>19</v>
      </c>
      <c r="K195" s="588"/>
      <c r="L195" s="112">
        <v>17</v>
      </c>
      <c r="M195" s="113" t="str">
        <f>IF(AL178&gt;3,"/","")</f>
        <v>/</v>
      </c>
      <c r="N195" s="114">
        <v>20</v>
      </c>
      <c r="O195" s="112">
        <v>14</v>
      </c>
      <c r="P195" s="113" t="str">
        <f>IF(AL178&gt;4,"/","")</f>
        <v>/</v>
      </c>
      <c r="Q195" s="114">
        <v>24</v>
      </c>
      <c r="R195" s="112">
        <v>17</v>
      </c>
      <c r="S195" s="113" t="str">
        <f>IF(AL178&gt;5,"/","")</f>
        <v>/</v>
      </c>
      <c r="T195" s="114">
        <v>19</v>
      </c>
      <c r="U195" s="112"/>
      <c r="V195" s="113" t="str">
        <f>IF(AL178&gt;6,"/","")</f>
        <v/>
      </c>
      <c r="W195" s="114"/>
      <c r="X195" s="112"/>
      <c r="Y195" s="113" t="str">
        <f>IF(AL178&gt;7,"/","")</f>
        <v/>
      </c>
      <c r="Z195" s="114"/>
      <c r="AA195" s="112"/>
      <c r="AB195" s="113" t="str">
        <f>IF(AL178&gt;8,"/","")</f>
        <v/>
      </c>
      <c r="AC195" s="114"/>
      <c r="AD195" s="112"/>
      <c r="AE195" s="113" t="str">
        <f>IF(AL178&gt;9,"/","")</f>
        <v/>
      </c>
      <c r="AF195" s="114"/>
      <c r="AG195" s="583" t="str">
        <f>IF(AL179&gt;1,"Team 2","")</f>
        <v>Team 2</v>
      </c>
      <c r="AH195" s="584">
        <f>IF(AL179&lt;2,"",IF(AL178&lt;1,"",IF(B194=2,B200-D200,IF(D194=2,D200-B200,""))))</f>
        <v>-2</v>
      </c>
      <c r="AI195" s="584">
        <f>IF(AL179&lt;2,"",IF(AL178&lt;2,"",IF(E194=2,E200-G200,IF(G194=2,G200-E200,""))))</f>
        <v>-7</v>
      </c>
      <c r="AJ195" s="584" t="str">
        <f>IF(AL179&lt;2,"",IF(AL178&lt;3,"",IF(H194=2,H200-J200,IF(J194=2,J200-H200,""))))</f>
        <v/>
      </c>
      <c r="AK195" s="584">
        <f>IF(AL179&lt;2,"",IF(AL178&lt;4,"",IF(L194=2,L200-N200,IF(N194=2,N200-L200,""))))</f>
        <v>3</v>
      </c>
      <c r="AL195" s="584">
        <f>IF(AL179&lt;2,"",IF(AL178&lt;5,"",IF(O194=2,O200-Q200,IF(Q194=2,Q200-O200,""))))</f>
        <v>-10</v>
      </c>
      <c r="AM195" s="584" t="str">
        <f>IF(AL179&lt;2,"",IF(AL178&lt;6,"",IF(R194=2,R200-T200,IF(T194=2,T200-R200,""))))</f>
        <v/>
      </c>
      <c r="AN195" s="584" t="str">
        <f>IF(AL179&lt;2,"",IF(AL178&lt;7,"",IF(U194=2,U200-W200,IF(W194=2,W200-U200,""))))</f>
        <v/>
      </c>
      <c r="AO195" s="584" t="str">
        <f>IF(AL179&lt;2,"",IF(AL178&lt;8,"",IF(X194=2,X200-Z200,IF(Z194=2,Z200-X200,""))))</f>
        <v/>
      </c>
      <c r="AP195" s="584" t="str">
        <f>IF(AL179&lt;2,"",IF(AL178&lt;9,"",IF(AA194=2,AA200-AC200,IF(AC194=2,AC200-AA200,""))))</f>
        <v/>
      </c>
      <c r="AQ195" s="584" t="str">
        <f>IF(AL179&lt;2,"",IF(AL178&lt;10,"",IF(AD194=2,AD200-AF200,IF(AF194=2,AF200-AD200,""))))</f>
        <v/>
      </c>
      <c r="AR195" s="582">
        <f>SUM(AH195:AQ195)</f>
        <v>-16</v>
      </c>
    </row>
    <row r="196" spans="1:49" ht="15">
      <c r="A196" s="46" t="str">
        <f>IF(AL177&gt;1,"Game 2","")</f>
        <v/>
      </c>
      <c r="B196" s="112"/>
      <c r="C196" s="113" t="s">
        <v>37</v>
      </c>
      <c r="D196" s="114"/>
      <c r="E196" s="112"/>
      <c r="F196" s="113" t="str">
        <f>IF(AL178&gt;1,IF(AL177&gt;1,"/",""),"")</f>
        <v/>
      </c>
      <c r="G196" s="114"/>
      <c r="H196" s="112"/>
      <c r="I196" s="113" t="str">
        <f>IF(AL178&gt;2,IF(AL177&gt;1,"/",""),"")</f>
        <v/>
      </c>
      <c r="J196" s="114"/>
      <c r="K196" s="588"/>
      <c r="L196" s="112"/>
      <c r="M196" s="113" t="str">
        <f>IF(AL178&gt;3,IF(AL177&gt;1,"/",""),"")</f>
        <v/>
      </c>
      <c r="N196" s="114"/>
      <c r="O196" s="112"/>
      <c r="P196" s="113" t="str">
        <f>IF(AL178&gt;4,IF(AL177&gt;1,"/",""),"")</f>
        <v/>
      </c>
      <c r="Q196" s="114"/>
      <c r="R196" s="112"/>
      <c r="S196" s="113" t="str">
        <f>IF(AL178&gt;5,IF(AL177&gt;1,"/",""),"")</f>
        <v/>
      </c>
      <c r="T196" s="114"/>
      <c r="U196" s="112"/>
      <c r="V196" s="113" t="str">
        <f>IF(AL178&gt;6,IF(AL177&gt;1,"/",""),"")</f>
        <v/>
      </c>
      <c r="W196" s="114"/>
      <c r="X196" s="112"/>
      <c r="Y196" s="113" t="str">
        <f>IF(AL178&gt;7,IF(AL177&gt;1,"/",""),"")</f>
        <v/>
      </c>
      <c r="Z196" s="114"/>
      <c r="AA196" s="112"/>
      <c r="AB196" s="113" t="str">
        <f>IF(AL178&gt;8,IF(AL177&gt;1,"/",""),"")</f>
        <v/>
      </c>
      <c r="AC196" s="114"/>
      <c r="AD196" s="112"/>
      <c r="AE196" s="113" t="str">
        <f>IF(AL178&gt;9,IF(AL177&gt;1,"/",""),"")</f>
        <v/>
      </c>
      <c r="AF196" s="114"/>
      <c r="AG196" s="583" t="str">
        <f>IF(AL179&gt;2,"Team 3","")</f>
        <v>Team 3</v>
      </c>
      <c r="AH196" s="584" t="str">
        <f>IF(AL179&lt;3,"",IF(AL178&lt;1,"",IF(B194=3,B200-D200,IF(D194=3,D200-B200,""))))</f>
        <v/>
      </c>
      <c r="AI196" s="584">
        <f>IF(AL179&lt;3,"",IF(AL178&lt;2,"",IF(E194=3,E200-G200,IF(G194=3,G200-E200,""))))</f>
        <v>7</v>
      </c>
      <c r="AJ196" s="584">
        <f>IF(AL179&lt;3,"",IF(AL178&lt;3,"",IF(H194=3,H200-J200,IF(J194=3,J200-H200,""))))</f>
        <v>2</v>
      </c>
      <c r="AK196" s="584" t="str">
        <f>IF(AL179&lt;3,"",IF(AL178&lt;4,"",IF(L194=3,L200-N200,IF(N194=3,N200-L200,""))))</f>
        <v/>
      </c>
      <c r="AL196" s="584">
        <f>IF(AL179&lt;3,"",IF(AL178&lt;5,"",IF(O194=3,O200-Q200,IF(Q194=3,Q200-O200,""))))</f>
        <v>10</v>
      </c>
      <c r="AM196" s="584">
        <f>IF(AL179&lt;3,"",IF(AL178&lt;6,"",IF(R194=3,R200-T200,IF(T194=3,T200-R200,""))))</f>
        <v>2</v>
      </c>
      <c r="AN196" s="584" t="str">
        <f>IF(AL179&lt;3,"",IF(AL178&lt;7,"",IF(U194=3,U200-W200,IF(W194=3,W200-U200,""))))</f>
        <v/>
      </c>
      <c r="AO196" s="584" t="str">
        <f>IF(AL179&lt;3,"",IF(AL178&lt;8,"",IF(X194=3,X200-Z200,IF(Z194=3,Z200-X200,""))))</f>
        <v/>
      </c>
      <c r="AP196" s="584" t="str">
        <f>IF(AL179&lt;3,"",IF(AL178&lt;9,"",IF(AA194=3,AA200-AC200,IF(AC194=3,AC200-AA200,""))))</f>
        <v/>
      </c>
      <c r="AQ196" s="584" t="str">
        <f>IF(AL179&lt;3,"",IF(AL178&lt;9,"",IF(AD194=3,AD200-AF200,IF(AF194=3,AF200-AD200,""))))</f>
        <v/>
      </c>
      <c r="AR196" s="582">
        <f>SUM(AH196:AQ196)</f>
        <v>21</v>
      </c>
    </row>
    <row r="197" spans="1:49" ht="15">
      <c r="A197" s="46" t="str">
        <f>IF(AL177&gt;2,"Game 3","")</f>
        <v/>
      </c>
      <c r="B197" s="112"/>
      <c r="C197" s="113" t="s">
        <v>37</v>
      </c>
      <c r="D197" s="114"/>
      <c r="E197" s="112"/>
      <c r="F197" s="113" t="str">
        <f>IF(AL178&gt;1,IF(AL177&gt;2,"/",""),"")</f>
        <v/>
      </c>
      <c r="G197" s="114"/>
      <c r="H197" s="112"/>
      <c r="I197" s="113" t="str">
        <f>IF(AL178&gt;2,IF(AL177&gt;2,"/",""),"")</f>
        <v/>
      </c>
      <c r="J197" s="114"/>
      <c r="K197" s="588"/>
      <c r="L197" s="112"/>
      <c r="M197" s="113" t="str">
        <f>IF(AL178&gt;3,IF(AL177&gt;2,"/",""),"")</f>
        <v/>
      </c>
      <c r="N197" s="114"/>
      <c r="O197" s="112"/>
      <c r="P197" s="113" t="str">
        <f>IF(AL178&gt;4,IF(AL177&gt;2,"/",""),"")</f>
        <v/>
      </c>
      <c r="Q197" s="114"/>
      <c r="R197" s="112"/>
      <c r="S197" s="113" t="str">
        <f>IF(AL178&gt;5,IF(AL177&gt;2,"/",""),"")</f>
        <v/>
      </c>
      <c r="T197" s="114"/>
      <c r="U197" s="112"/>
      <c r="V197" s="113" t="str">
        <f>IF(AL178&gt;6,IF(AL177&gt;2,"/",""),"")</f>
        <v/>
      </c>
      <c r="W197" s="114"/>
      <c r="X197" s="112"/>
      <c r="Y197" s="113" t="str">
        <f>IF(AL178&gt;7,IF(AL177&gt;2,"/",""),"")</f>
        <v/>
      </c>
      <c r="Z197" s="114"/>
      <c r="AA197" s="112"/>
      <c r="AB197" s="113" t="str">
        <f>IF(AL178&gt;8,IF(AL177&gt;2,"/",""),"")</f>
        <v/>
      </c>
      <c r="AC197" s="114"/>
      <c r="AD197" s="112"/>
      <c r="AE197" s="113" t="str">
        <f>IF(AL178&gt;9,IF(AL177&gt;2,"/",""),"")</f>
        <v/>
      </c>
      <c r="AF197" s="114"/>
      <c r="AG197" s="583" t="str">
        <f>IF(AL179&gt;3,"Team 4","")</f>
        <v/>
      </c>
      <c r="AH197" s="584" t="str">
        <f>IF(AL179&lt;4,"",IF(AL178&lt;1,"",IF(B194=4,B200-D200,IF(D194=4,D200-B200,""))))</f>
        <v/>
      </c>
      <c r="AI197" s="584" t="str">
        <f>IF(AL179&lt;4,"",IF(AL178&lt;2,"",IF(E194=4,E200-G200,IF(G194=4,G200-E200,""))))</f>
        <v/>
      </c>
      <c r="AJ197" s="584" t="str">
        <f>IF(AL179&lt;4,"",IF(AL178&lt;3,"",IF(H194=4,H200-J200,IF(J194=4,J200-H200,""))))</f>
        <v/>
      </c>
      <c r="AK197" s="584" t="str">
        <f>IF(AL179&lt;4,"",IF(AL178&lt;4,"",IF(L194=4,L200-N200,IF(N194=4,N200-L200,""))))</f>
        <v/>
      </c>
      <c r="AL197" s="584" t="str">
        <f>IF(AL179&lt;4,"",IF(AL178&lt;5,"",IF(O194=4,O200-Q200,IF(Q194=4,Q200-O200,""))))</f>
        <v/>
      </c>
      <c r="AM197" s="584" t="str">
        <f>IF(AL179&lt;4,"",IF(AL178&lt;6,"",IF(R194=4,R200-T200,IF(T194=4,T200-R200,""))))</f>
        <v/>
      </c>
      <c r="AN197" s="584" t="str">
        <f>IF(AL179&lt;4,"",IF(AL178&lt;7,"",IF(U194=4,U200-W200,IF(W194=4,W200-U200,""))))</f>
        <v/>
      </c>
      <c r="AO197" s="584" t="str">
        <f>IF(AL179&lt;4,"",IF(AL178&lt;8,"",IF(X194=4,X200-Z200,IF(Z194=4,Z200-X200,""))))</f>
        <v/>
      </c>
      <c r="AP197" s="584" t="str">
        <f>IF(AL179&lt;4,"",IF(AL178&lt;9,"",IF(AA194=4,AA200-AC200,IF(AC194=4,AC200-AA200,""))))</f>
        <v/>
      </c>
      <c r="AQ197" s="584" t="str">
        <f>IF(AL179&lt;4,"",IF(AL178&lt;10,"",IF(AD194=4,AD200-AF200,IF(AF194=4,AF200-AD200,""))))</f>
        <v/>
      </c>
      <c r="AR197" s="582">
        <f>SUM(AH197:AQ197)</f>
        <v>0</v>
      </c>
    </row>
    <row r="198" spans="1:49" ht="15">
      <c r="A198" s="46" t="str">
        <f>IF(AL177&gt;3,"Game 4","")</f>
        <v/>
      </c>
      <c r="B198" s="112"/>
      <c r="C198" s="113" t="s">
        <v>37</v>
      </c>
      <c r="D198" s="114"/>
      <c r="E198" s="112"/>
      <c r="F198" s="113" t="str">
        <f>IF(AL178&gt;1,IF(AL177&gt;3,"/",""),"")</f>
        <v/>
      </c>
      <c r="G198" s="114"/>
      <c r="H198" s="112"/>
      <c r="I198" s="113" t="str">
        <f>IF(AL178&gt;2,IF(AL177&gt;3,"/",""),"")</f>
        <v/>
      </c>
      <c r="J198" s="114"/>
      <c r="K198" s="588"/>
      <c r="L198" s="112"/>
      <c r="M198" s="113" t="str">
        <f>IF(AL178&gt;3,IF(AL177&gt;3,"/",""),"")</f>
        <v/>
      </c>
      <c r="N198" s="114"/>
      <c r="O198" s="112"/>
      <c r="P198" s="113" t="str">
        <f>IF(AL178&gt;4,IF(AL177&gt;3,"/",""),"")</f>
        <v/>
      </c>
      <c r="Q198" s="114"/>
      <c r="R198" s="112"/>
      <c r="S198" s="113" t="str">
        <f>IF(AL178&gt;5,IF(AL177&gt;3,"/",""),"")</f>
        <v/>
      </c>
      <c r="T198" s="114"/>
      <c r="U198" s="112"/>
      <c r="V198" s="113" t="str">
        <f>IF(AL178&gt;6,IF(AL177&gt;3,"/",""),"")</f>
        <v/>
      </c>
      <c r="W198" s="114"/>
      <c r="X198" s="112"/>
      <c r="Y198" s="113" t="str">
        <f>IF(AL178&gt;7,IF(AL177&gt;3,"/",""),"")</f>
        <v/>
      </c>
      <c r="Z198" s="114"/>
      <c r="AA198" s="112"/>
      <c r="AB198" s="113" t="str">
        <f>IF(AL178&gt;8,IF(AL177&gt;3,"/",""),"")</f>
        <v/>
      </c>
      <c r="AC198" s="114"/>
      <c r="AD198" s="112"/>
      <c r="AE198" s="113" t="str">
        <f>IF(AL178&gt;9,IF(AL177&gt;3,"/",""),"")</f>
        <v/>
      </c>
      <c r="AF198" s="114"/>
      <c r="AG198" s="583" t="str">
        <f>IF(AL179&gt;4,"Team 5","")</f>
        <v/>
      </c>
      <c r="AH198" s="585" t="str">
        <f>IF(AL179&lt;5,"",IF(AL178&lt;1,"",IF(B194=5,B200-D200,IF(D194=5,D200-B200,""))))</f>
        <v/>
      </c>
      <c r="AI198" s="584" t="str">
        <f>IF(AL179&lt;5,"",IF(AL178&lt;2,"",IF(E194=5,E200-G200,IF(G194=5,G200-E200,""))))</f>
        <v/>
      </c>
      <c r="AJ198" s="584" t="str">
        <f>IF(AL179&lt;5,"",IF(AL178&lt;3,"",IF(H194=5,H200-J200,IF(J194=5,J200-H200,""))))</f>
        <v/>
      </c>
      <c r="AK198" s="584" t="str">
        <f>IF(AL179&lt;5,"",IF(AL178&lt;4,"",IF(L194=5,L200-N200,IF(N194=5,N200-L200,""))))</f>
        <v/>
      </c>
      <c r="AL198" s="584" t="str">
        <f>IF(AL179&lt;5,"",IF(AL178&lt;5,"",IF(O194=5,O200-Q200,IF(Q194=5,Q200-O200,""))))</f>
        <v/>
      </c>
      <c r="AM198" s="584" t="str">
        <f>IF(AL179&lt;5,"",IF(AL178&lt;6,"",IF(R194=5,R200-T200,IF(T194=5,T200-R200,""))))</f>
        <v/>
      </c>
      <c r="AN198" s="584" t="str">
        <f>IF(AL179&lt;5,"",IF(AL178&lt;7,"",IF(U194=5,U200-W200,IF(W194=5,W200-U200,""))))</f>
        <v/>
      </c>
      <c r="AO198" s="584" t="str">
        <f>IF(AL179&lt;5,"",IF(AL178&lt;8,"",IF(X194=5,X200-Z200,IF(Z194=5,Z200-X200,""))))</f>
        <v/>
      </c>
      <c r="AP198" s="584" t="str">
        <f>IF(AL179&lt;5,"",IF(AL178&lt;9,"",IF(AA194=5,AA200-AC200,IF(AC194=5,AC200-AA200,""))))</f>
        <v/>
      </c>
      <c r="AQ198" s="584" t="str">
        <f>IF(AL179&lt;5,"",IF(AL178&lt;10,"",IF(AD194=5,AD200-AF200,IF(AF194=5,AF200-AD200,""))))</f>
        <v/>
      </c>
      <c r="AR198" s="582">
        <f>SUM(AH198:AQ198)</f>
        <v>0</v>
      </c>
    </row>
    <row r="199" spans="1:49" ht="15">
      <c r="A199" s="46" t="str">
        <f>IF(AL177&gt;4,"Game 5","")</f>
        <v/>
      </c>
      <c r="B199" s="112"/>
      <c r="C199" s="113" t="s">
        <v>37</v>
      </c>
      <c r="D199" s="114"/>
      <c r="E199" s="112"/>
      <c r="F199" s="113" t="str">
        <f>IF(AL178&gt;1,IF(AL177&gt;4,"/",""),"")</f>
        <v/>
      </c>
      <c r="G199" s="114"/>
      <c r="H199" s="112"/>
      <c r="I199" s="113" t="str">
        <f>IF(AL178&gt;2,IF(AL177&gt;4,"/",""),"")</f>
        <v/>
      </c>
      <c r="J199" s="114"/>
      <c r="K199" s="589"/>
      <c r="L199" s="112"/>
      <c r="M199" s="113" t="str">
        <f>IF(AL178&gt;3,IF(AL177&gt;4,"/",""),"")</f>
        <v/>
      </c>
      <c r="N199" s="114"/>
      <c r="O199" s="112"/>
      <c r="P199" s="113" t="str">
        <f>IF(AL178&gt;4,IF(AL177&gt;4,"/",""),"")</f>
        <v/>
      </c>
      <c r="Q199" s="114"/>
      <c r="R199" s="112"/>
      <c r="S199" s="113" t="str">
        <f>IF(AL178&gt;5,IF(AL177&gt;4,"/",""),"")</f>
        <v/>
      </c>
      <c r="T199" s="114"/>
      <c r="U199" s="112"/>
      <c r="V199" s="113" t="str">
        <f>IF(AL178&gt;6,IF(AL177&gt;4,"/",""),"")</f>
        <v/>
      </c>
      <c r="W199" s="114"/>
      <c r="X199" s="112"/>
      <c r="Y199" s="113" t="str">
        <f>IF(AL178&gt;7,IF(AL177&gt;4,"/",""),"")</f>
        <v/>
      </c>
      <c r="Z199" s="114"/>
      <c r="AA199" s="112"/>
      <c r="AB199" s="113" t="str">
        <f>IF(AL178&gt;8,IF(AL177&gt;4,"/",""),"")</f>
        <v/>
      </c>
      <c r="AC199" s="114"/>
      <c r="AD199" s="112"/>
      <c r="AE199" s="113" t="str">
        <f>IF(AL178&gt;9,IF(AL177&gt;4,"/",""),"")</f>
        <v/>
      </c>
      <c r="AF199" s="114"/>
      <c r="AG199" s="534"/>
      <c r="AH199" s="534"/>
      <c r="AI199" s="534"/>
      <c r="AJ199" s="534"/>
      <c r="AK199" s="534"/>
      <c r="AL199" s="534"/>
      <c r="AM199" s="534"/>
      <c r="AN199" s="534"/>
      <c r="AO199" s="534"/>
      <c r="AP199" s="534"/>
      <c r="AQ199" s="534"/>
      <c r="AR199" s="534"/>
    </row>
    <row r="200" spans="1:49" hidden="1">
      <c r="A200" s="116"/>
      <c r="B200" s="116">
        <f>IF($AL177=5,SUM(B195:B199),IF($AL177=4,SUM(B195:B198),IF($AL177=3,SUM(B195:B197),IF($AL177=2,SUM(B195:B196),B195))))</f>
        <v>19</v>
      </c>
      <c r="C200" s="116"/>
      <c r="D200" s="116">
        <f>IF($AL177=5,SUM(D195:D199),IF($AL177=4,SUM(D195:D198),IF($AL177=3,SUM(D195:D197),IF($AL177=2,SUM(D195:D196),D195))))</f>
        <v>17</v>
      </c>
      <c r="E200" s="116">
        <f>IF($AL177=5,SUM(E195:E199),IF($AL177=4,SUM(E195:E198),IF($AL177=3,SUM(E195:E197),IF($AL177=2,SUM(E195:E196),E195))))</f>
        <v>15</v>
      </c>
      <c r="F200" s="116"/>
      <c r="G200" s="116">
        <f>IF($AL177=5,SUM(G195:G199),IF($AL177=4,SUM(G195:G198),IF($AL177=3,SUM(G195:G197),IF($AL177=2,SUM(G195:G196),G195))))</f>
        <v>22</v>
      </c>
      <c r="H200" s="116">
        <f>IF($AL177=5,SUM(H195:H199),IF($AL177=4,SUM(H195:H198),IF($AL177=3,SUM(H195:H197),IF($AL177=2,SUM(H195:H196),H195))))</f>
        <v>17</v>
      </c>
      <c r="I200" s="116"/>
      <c r="J200" s="116">
        <f>IF($AL177=5,SUM(J195:J199),IF($AL177=4,SUM(J195:J198),IF($AL177=3,SUM(J195:J197),IF($AL177=2,SUM(J195:J196),J195))))</f>
        <v>19</v>
      </c>
      <c r="K200" s="116"/>
      <c r="L200" s="116">
        <f>IF($AL177=5,SUM(L195:L199),IF($AL177=4,SUM(L195:L198),IF($AL177=3,SUM(L195:L197),IF($AL177=2,SUM(L195:L196),L195))))</f>
        <v>17</v>
      </c>
      <c r="M200" s="116"/>
      <c r="N200" s="116">
        <f>IF($AL177=5,SUM(N195:N199),IF($AL177=4,SUM(N195:N198),IF($AL177=3,SUM(N195:N197),IF($AL177=2,SUM(N195:N196),N195))))</f>
        <v>20</v>
      </c>
      <c r="O200" s="116">
        <f>IF($AL177=5,SUM(O195:O199),IF($AL177=4,SUM(O195:O198),IF($AL177=3,SUM(O195:O197),IF($AL177=2,SUM(O195:O196),O195))))</f>
        <v>14</v>
      </c>
      <c r="P200" s="116"/>
      <c r="Q200" s="116">
        <f>IF($AL177=5,SUM(Q195:Q199),IF($AL177=4,SUM(Q195:Q198),IF($AL177=3,SUM(Q195:Q197),IF($AL177=2,SUM(Q195:Q196),Q195))))</f>
        <v>24</v>
      </c>
      <c r="R200" s="116">
        <f>IF($AL177=5,SUM(R195:R199),IF($AL177=4,SUM(R195:R198),IF($AL177=3,SUM(R195:R197),IF($AL177=2,SUM(R195:R196),R195))))</f>
        <v>17</v>
      </c>
      <c r="S200" s="116"/>
      <c r="T200" s="116">
        <f>IF($AL177=5,SUM(T195:T199),IF($AL177=4,SUM(T195:T198),IF($AL177=3,SUM(T195:T197),IF($AL177=2,SUM(T195:T196),T195))))</f>
        <v>19</v>
      </c>
      <c r="U200" s="116">
        <f>IF($AL177=5,SUM(U195:U199),IF($AL177=4,SUM(U195:U198),IF($AL177=3,SUM(U195:U197),IF($AL177=2,SUM(U195:U196),U195))))</f>
        <v>0</v>
      </c>
      <c r="V200" s="116"/>
      <c r="W200" s="116">
        <f>IF($AL177=5,SUM(W195:W199),IF($AL177=4,SUM(W195:W198),IF($AL177=3,SUM(W195:W197),IF($AL177=2,SUM(W195:W196),W195))))</f>
        <v>0</v>
      </c>
      <c r="X200" s="116">
        <f>IF($AL177=5,SUM(X195:X199),IF($AL177=4,SUM(X195:X198),IF($AL177=3,SUM(X195:X197),IF($AL177=2,SUM(X195:X196),X195))))</f>
        <v>0</v>
      </c>
      <c r="Y200" s="116"/>
      <c r="Z200" s="116">
        <f>IF($AL177=5,SUM(Z195:Z199),IF($AL177=4,SUM(Z195:Z198),IF($AL177=3,SUM(Z195:Z197),IF($AL177=2,SUM(Z195:Z196),Z195))))</f>
        <v>0</v>
      </c>
      <c r="AA200" s="116">
        <f>IF($AL177=5,SUM(AA195:AA199),IF($AL177=4,SUM(AA195:AA198),IF($AL177=3,SUM(AA195:AA197),IF($AL177=2,SUM(AA195:AA196),AA195))))</f>
        <v>0</v>
      </c>
      <c r="AB200" s="116"/>
      <c r="AC200" s="116">
        <f>IF($AL177=5,SUM(AC195:AC199),IF($AL177=4,SUM(AC195:AC198),IF($AL177=3,SUM(AC195:AC197),IF($AL177=2,SUM(AC195:AC196),AC195))))</f>
        <v>0</v>
      </c>
      <c r="AD200" s="116">
        <f>IF($AL177=5,SUM(AD195:AD199),IF($AL177=4,SUM(AD195:AD198),IF($AL177=3,SUM(AD195:AD197),IF($AL177=2,SUM(AD195:AD196),AD195))))</f>
        <v>0</v>
      </c>
      <c r="AE200" s="116"/>
      <c r="AF200" s="116">
        <f>IF($AL177=5,SUM(AF195:AF199),IF($AL177=4,SUM(AF195:AF198),IF($AL177=3,SUM(AF195:AF197),IF($AL177=2,SUM(AF195:AF196),AF195))))</f>
        <v>0</v>
      </c>
      <c r="AG200" s="534"/>
      <c r="AH200" s="534"/>
      <c r="AI200" s="534"/>
      <c r="AJ200" s="534"/>
      <c r="AK200" s="534"/>
      <c r="AL200" s="534"/>
      <c r="AM200" s="534"/>
      <c r="AN200" s="534"/>
      <c r="AO200" s="534"/>
      <c r="AP200" s="534"/>
      <c r="AQ200" s="534"/>
      <c r="AR200" s="534"/>
    </row>
    <row r="201" spans="1:49" s="115" customFormat="1" ht="12.75" hidden="1" customHeight="1">
      <c r="A201" s="115" t="s">
        <v>201</v>
      </c>
      <c r="B201" s="164">
        <f>IF(AND(B195&gt;D195,$AL178&gt;0,ISNUMBER(B195),ISNUMBER(D195)),1,0)</f>
        <v>1</v>
      </c>
      <c r="C201" s="164"/>
      <c r="D201" s="165">
        <f>IF(AND(D195&gt;B195,$AL178&gt;0,ISNUMBER(B195),ISNUMBER(D195)),1,0)</f>
        <v>0</v>
      </c>
      <c r="E201" s="164">
        <f>IF(AND(E195&gt;G195,$AL178&gt;1,ISNUMBER(E195),ISNUMBER(G195)),1,0)</f>
        <v>0</v>
      </c>
      <c r="F201" s="164"/>
      <c r="G201" s="165">
        <f>IF(AND(G195&gt;E195,$AL178&gt;1,ISNUMBER(E195),ISNUMBER(G195)),1,0)</f>
        <v>1</v>
      </c>
      <c r="H201" s="164">
        <f>IF(AND(H195&gt;J195,$AL178&gt;2,ISNUMBER(H195),ISNUMBER(J195)),1,0)</f>
        <v>0</v>
      </c>
      <c r="I201" s="164"/>
      <c r="J201" s="165">
        <f>IF(AND(J195&gt;H195,$AL178&gt;2,ISNUMBER(H195),ISNUMBER(J195)),1,0)</f>
        <v>1</v>
      </c>
      <c r="K201" s="168"/>
      <c r="L201" s="164">
        <f>IF(AND(L195&gt;N195,$AL178&gt;3,ISNUMBER(L195),ISNUMBER(N195)),1,0)</f>
        <v>0</v>
      </c>
      <c r="M201" s="164"/>
      <c r="N201" s="165">
        <f>IF(AND(N195&gt;L195,$AL178&gt;3,ISNUMBER(L195),ISNUMBER(N195)),1,0)</f>
        <v>1</v>
      </c>
      <c r="O201" s="164">
        <f>IF(AND(O195&gt;Q195,$AL178&gt;4,ISNUMBER(O195),ISNUMBER(Q195)),1,0)</f>
        <v>0</v>
      </c>
      <c r="P201" s="164"/>
      <c r="Q201" s="165">
        <f>IF(AND(Q195&gt;O195,$AL178&gt;4,ISNUMBER(O195),ISNUMBER(Q195)),1,0)</f>
        <v>1</v>
      </c>
      <c r="R201" s="164">
        <f>IF(AND(R195&gt;T195,$AL178&gt;5,ISNUMBER(R195),ISNUMBER(T195)),1,0)</f>
        <v>0</v>
      </c>
      <c r="S201" s="164"/>
      <c r="T201" s="165">
        <f>IF(AND(T195&gt;R195,$AL178&gt;5,ISNUMBER(R195),ISNUMBER(T195)),1,0)</f>
        <v>1</v>
      </c>
      <c r="U201" s="164">
        <f>IF(AND(U195&gt;W195,$AL178&gt;6,ISNUMBER(U195),ISNUMBER(W195)),1,0)</f>
        <v>0</v>
      </c>
      <c r="V201" s="164"/>
      <c r="W201" s="165">
        <f>IF(AND(W195&gt;U195,$AL178&gt;6,ISNUMBER(U195),ISNUMBER(W195)),1,0)</f>
        <v>0</v>
      </c>
      <c r="X201" s="164">
        <f>IF(AND(X195&gt;Z195,$AL178&gt;7,ISNUMBER(X195),ISNUMBER(Z195)),1,0)</f>
        <v>0</v>
      </c>
      <c r="Y201" s="164"/>
      <c r="Z201" s="165">
        <f>IF(AND(Z195&gt;X195,$AL178&gt;7,ISNUMBER(X195),ISNUMBER(Z195)),1,0)</f>
        <v>0</v>
      </c>
      <c r="AA201" s="164">
        <f>IF(AND(AA195&gt;AC195,$AL178&gt;8,ISNUMBER(AA195),ISNUMBER(AC195)),1,0)</f>
        <v>0</v>
      </c>
      <c r="AB201" s="164"/>
      <c r="AC201" s="165">
        <f>IF(AND(AC195&gt;AA195,$AL178&gt;8,ISNUMBER(AA195),ISNUMBER(AC195)),1,0)</f>
        <v>0</v>
      </c>
      <c r="AD201" s="164">
        <f>IF(AND(AD195&gt;AF195,$AL178&gt;9,ISNUMBER(AD195),ISNUMBER(AF195)),1,0)</f>
        <v>0</v>
      </c>
      <c r="AE201" s="164"/>
      <c r="AF201" s="165">
        <f>IF(AND(AF195&gt;AD195,$AL178&gt;9,ISNUMBER(AD195),ISNUMBER(AF195)),1,0)</f>
        <v>0</v>
      </c>
      <c r="AW201" s="166"/>
    </row>
    <row r="202" spans="1:49" s="115" customFormat="1" ht="12.75" hidden="1" customHeight="1">
      <c r="A202" s="115" t="s">
        <v>202</v>
      </c>
      <c r="B202" s="164">
        <f>IF(AND(B196&gt;D196,$AL178&gt;0,$AL177&gt;1,ISNUMBER(B196),ISNUMBER(D196)),1,0)</f>
        <v>0</v>
      </c>
      <c r="C202" s="164"/>
      <c r="D202" s="165">
        <f>IF(AND(D196&gt;B196,$AL178&gt;0,$AL177&gt;1,ISNUMBER(B196),ISNUMBER(D196)),1,0)</f>
        <v>0</v>
      </c>
      <c r="E202" s="164">
        <f>IF(AND(E196&gt;G196,$AL178&gt;1,$AL177&gt;1,ISNUMBER(E196),ISNUMBER(G196)),1,0)</f>
        <v>0</v>
      </c>
      <c r="F202" s="164"/>
      <c r="G202" s="165">
        <f>IF(AND(G196&gt;E196,$AL178&gt;1,$AL177&gt;1,ISNUMBER(E196),ISNUMBER(G196)),1,0)</f>
        <v>0</v>
      </c>
      <c r="H202" s="164">
        <f>IF(AND(H196&gt;J196,$AL178&gt;2,$AL177&gt;1,ISNUMBER(H196),ISNUMBER(J196)),1,0)</f>
        <v>0</v>
      </c>
      <c r="I202" s="164"/>
      <c r="J202" s="165">
        <f>IF(AND(J196&gt;H196,$AL178&gt;2,$AL177&gt;1,ISNUMBER(H196),ISNUMBER(J196)),1,0)</f>
        <v>0</v>
      </c>
      <c r="K202" s="168"/>
      <c r="L202" s="164">
        <f>IF(AND(L196&gt;N196,$AL178&gt;3,$AL177&gt;1,ISNUMBER(L196),ISNUMBER(N196)),1,0)</f>
        <v>0</v>
      </c>
      <c r="M202" s="164"/>
      <c r="N202" s="165">
        <f>IF(AND(N196&gt;L196,$AL178&gt;3,$AL177&gt;1,ISNUMBER(L196),ISNUMBER(N196)),1,0)</f>
        <v>0</v>
      </c>
      <c r="O202" s="164">
        <f>IF(AND(O196&gt;Q196,$AL178&gt;4,$AL177&gt;1,ISNUMBER(O196),ISNUMBER(Q196)),1,0)</f>
        <v>0</v>
      </c>
      <c r="P202" s="164"/>
      <c r="Q202" s="165">
        <f>IF(AND(Q196&gt;O196,$AL178&gt;4,$AL177&gt;1,ISNUMBER(O196),ISNUMBER(Q196)),1,0)</f>
        <v>0</v>
      </c>
      <c r="R202" s="164">
        <f>IF(AND(R196&gt;T196,$AL178&gt;5,$AL177&gt;1,ISNUMBER(R196),ISNUMBER(T196)),1,0)</f>
        <v>0</v>
      </c>
      <c r="S202" s="164"/>
      <c r="T202" s="165">
        <f>IF(AND(T196&gt;R196,$AL178&gt;5,$AL177&gt;1,ISNUMBER(R196),ISNUMBER(T196)),1,0)</f>
        <v>0</v>
      </c>
      <c r="U202" s="164">
        <f>IF(AND(U196&gt;W196,$AL178&gt;6,$AL177&gt;1,ISNUMBER(U196),ISNUMBER(W196)),1,0)</f>
        <v>0</v>
      </c>
      <c r="V202" s="164"/>
      <c r="W202" s="165">
        <f>IF(AND(W196&gt;U196,$AL178&gt;6,$AL177&gt;1,ISNUMBER(U196),ISNUMBER(W196)),1,0)</f>
        <v>0</v>
      </c>
      <c r="X202" s="164">
        <f>IF(AND(X196&gt;Z196,$AL178&gt;7,$AL177&gt;1,ISNUMBER(X196),ISNUMBER(Z196)),1,0)</f>
        <v>0</v>
      </c>
      <c r="Y202" s="164"/>
      <c r="Z202" s="165">
        <f>IF(AND(Z196&gt;X196,$AL178&gt;7,$AL177&gt;1,ISNUMBER(X196),ISNUMBER(Z196)),1,0)</f>
        <v>0</v>
      </c>
      <c r="AA202" s="164">
        <f>IF(AND(AA196&gt;AC196,$AL178&gt;8,$AL177&gt;1,ISNUMBER(AA196),ISNUMBER(AC196)),1,0)</f>
        <v>0</v>
      </c>
      <c r="AB202" s="164"/>
      <c r="AC202" s="165">
        <f>IF(AND(AC196&gt;AA196,$AL178&gt;8,$AL177&gt;1,ISNUMBER(AA196),ISNUMBER(AC196)),1,0)</f>
        <v>0</v>
      </c>
      <c r="AD202" s="164">
        <f>IF(AND(AD196&gt;AF196,$AL178&gt;9,$AL177&gt;1,ISNUMBER(AD196),ISNUMBER(AF196)),1,0)</f>
        <v>0</v>
      </c>
      <c r="AE202" s="164"/>
      <c r="AF202" s="165">
        <f>IF(AND(AF196&gt;AD196,$AL178&gt;9,$AL177&gt;1,ISNUMBER(AD196),ISNUMBER(AF196)),1,0)</f>
        <v>0</v>
      </c>
      <c r="AW202" s="166"/>
    </row>
    <row r="203" spans="1:49" s="115" customFormat="1" ht="12.75" hidden="1" customHeight="1">
      <c r="A203" s="115" t="s">
        <v>203</v>
      </c>
      <c r="B203" s="164">
        <f>IF(AND(B197&gt;D197,$AL178&gt;0,$AL177&gt;2,ISNUMBER(B197),ISNUMBER(D197)),1,0)</f>
        <v>0</v>
      </c>
      <c r="C203" s="164"/>
      <c r="D203" s="165">
        <f>IF(AND(D197&gt;B197,$AL178&gt;0,$AL177&gt;2,ISNUMBER(B197),ISNUMBER(D197)),1,0)</f>
        <v>0</v>
      </c>
      <c r="E203" s="164">
        <f>IF(AND(E197&gt;G197,$AL178&gt;1,$AL177&gt;2,ISNUMBER(E197),ISNUMBER(G197)),1,0)</f>
        <v>0</v>
      </c>
      <c r="F203" s="164"/>
      <c r="G203" s="165">
        <f>IF(AND(G197&gt;E197,$AL178&gt;1,$AL177&gt;2,ISNUMBER(E197),ISNUMBER(G197)),1,0)</f>
        <v>0</v>
      </c>
      <c r="H203" s="164">
        <f>IF(AND(H197&gt;J197,$AL178&gt;2,$AL177&gt;2,ISNUMBER(H197),ISNUMBER(J197)),1,0)</f>
        <v>0</v>
      </c>
      <c r="I203" s="164"/>
      <c r="J203" s="165">
        <f>IF(AND(J197&gt;H197,$AL178&gt;2,$AL177&gt;2,ISNUMBER(H197),ISNUMBER(J197)),1,0)</f>
        <v>0</v>
      </c>
      <c r="K203" s="168"/>
      <c r="L203" s="164">
        <f>IF(AND(L197&gt;N197,$AL178&gt;3,$AL177&gt;2,ISNUMBER(L197),ISNUMBER(N197)),1,0)</f>
        <v>0</v>
      </c>
      <c r="M203" s="164"/>
      <c r="N203" s="165">
        <f>IF(AND(N197&gt;L197,$AL178&gt;3,$AL177&gt;2,ISNUMBER(L197),ISNUMBER(N197)),1,0)</f>
        <v>0</v>
      </c>
      <c r="O203" s="164">
        <f>IF(AND(O197&gt;Q197,$AL178&gt;4,$AL177&gt;2,ISNUMBER(O197),ISNUMBER(Q197)),1,0)</f>
        <v>0</v>
      </c>
      <c r="P203" s="164"/>
      <c r="Q203" s="165">
        <f>IF(AND(Q197&gt;O197,$AL178&gt;4,$AL177&gt;2,ISNUMBER(O197),ISNUMBER(Q197)),1,0)</f>
        <v>0</v>
      </c>
      <c r="R203" s="164">
        <f>IF(AND(R197&gt;T197,$AL178&gt;5,$AL177&gt;2,ISNUMBER(R197),ISNUMBER(T197)),1,0)</f>
        <v>0</v>
      </c>
      <c r="S203" s="164"/>
      <c r="T203" s="165">
        <f>IF(AND(T197&gt;R197,$AL178&gt;5,$AL177&gt;2,ISNUMBER(R197),ISNUMBER(T197)),1,0)</f>
        <v>0</v>
      </c>
      <c r="U203" s="164">
        <f>IF(AND(U197&gt;W197,$AL178&gt;6,$AL177&gt;2,ISNUMBER(U197),ISNUMBER(W197)),1,0)</f>
        <v>0</v>
      </c>
      <c r="V203" s="164"/>
      <c r="W203" s="165">
        <f>IF(AND(W197&gt;U197,$AL178&gt;6,$AL177&gt;2,ISNUMBER(U197),ISNUMBER(W197)),1,0)</f>
        <v>0</v>
      </c>
      <c r="X203" s="164">
        <f>IF(AND(X197&gt;Z197,$AL178&gt;7,$AL177&gt;2,ISNUMBER(X197),ISNUMBER(Z197)),1,0)</f>
        <v>0</v>
      </c>
      <c r="Y203" s="164"/>
      <c r="Z203" s="165">
        <f>IF(AND(Z197&gt;X197,$AL178&gt;7,$AL177&gt;2,ISNUMBER(X197),ISNUMBER(Z197)),1,0)</f>
        <v>0</v>
      </c>
      <c r="AA203" s="164">
        <f>IF(AND(AA197&gt;AC197,$AL178&gt;8,$AL177&gt;2,ISNUMBER(AA197),ISNUMBER(AC197)),1,0)</f>
        <v>0</v>
      </c>
      <c r="AB203" s="164"/>
      <c r="AC203" s="165">
        <f>IF(AND(AC197&gt;AA197,$AL178&gt;8,$AL177&gt;2,ISNUMBER(AA197),ISNUMBER(AC197)),1,0)</f>
        <v>0</v>
      </c>
      <c r="AD203" s="164">
        <f>IF(AND(AD197&gt;AF197,$AL178&gt;9,$AL177&gt;2,ISNUMBER(AD197),ISNUMBER(AF197)),1,0)</f>
        <v>0</v>
      </c>
      <c r="AE203" s="164"/>
      <c r="AF203" s="165">
        <f>IF(AND(AF197&gt;AD197,$AL178&gt;9,$AL177&gt;2,ISNUMBER(AD197),ISNUMBER(AF197)),1,0)</f>
        <v>0</v>
      </c>
      <c r="AW203" s="166"/>
    </row>
    <row r="204" spans="1:49" s="115" customFormat="1" ht="12.75" hidden="1" customHeight="1">
      <c r="A204" s="115" t="s">
        <v>204</v>
      </c>
      <c r="B204" s="164">
        <f>IF(AND(B198&gt;D198,$AL178&gt;0,$AL177&gt;3,ISNUMBER(B198),ISNUMBER(D198)),1,0)</f>
        <v>0</v>
      </c>
      <c r="C204" s="164"/>
      <c r="D204" s="165">
        <f>IF(AND(D198&gt;B198,$AL178&gt;0,$AL177&gt;3,ISNUMBER(B198),ISNUMBER(D198)),1,0)</f>
        <v>0</v>
      </c>
      <c r="E204" s="164">
        <f>IF(AND(E198&gt;G198,$AL178&gt;1,$AL177&gt;3,ISNUMBER(E198),ISNUMBER(G198)),1,0)</f>
        <v>0</v>
      </c>
      <c r="F204" s="164"/>
      <c r="G204" s="165">
        <f>IF(AND(G198&gt;E198,$AL178&gt;1,$AL177&gt;3,ISNUMBER(E198),ISNUMBER(G198)),1,0)</f>
        <v>0</v>
      </c>
      <c r="H204" s="164">
        <f>IF(AND(H198&gt;J198,$AL178&gt;2,$AL177&gt;3,ISNUMBER(H198),ISNUMBER(J198)),1,0)</f>
        <v>0</v>
      </c>
      <c r="I204" s="164"/>
      <c r="J204" s="165">
        <f>IF(AND(J198&gt;H198,$AL178&gt;2,$AL177&gt;3,ISNUMBER(H198),ISNUMBER(J198)),1,0)</f>
        <v>0</v>
      </c>
      <c r="K204" s="168"/>
      <c r="L204" s="164">
        <f>IF(AND(L198&gt;N198,$AL178&gt;3,$AL177&gt;3,ISNUMBER(L198),ISNUMBER(N198)),1,0)</f>
        <v>0</v>
      </c>
      <c r="M204" s="164"/>
      <c r="N204" s="165">
        <f>IF(AND(N198&gt;L198,$AL178&gt;3,$AL177&gt;3,ISNUMBER(L198),ISNUMBER(N198)),1,0)</f>
        <v>0</v>
      </c>
      <c r="O204" s="164">
        <f>IF(AND(O198&gt;Q198,$AL178&gt;4,$AL177&gt;3,ISNUMBER(O198),ISNUMBER(Q198)),1,0)</f>
        <v>0</v>
      </c>
      <c r="P204" s="164"/>
      <c r="Q204" s="165">
        <f>IF(AND(Q198&gt;O198,$AL178&gt;4,$AL177&gt;3,ISNUMBER(O198),ISNUMBER(Q198)),1,0)</f>
        <v>0</v>
      </c>
      <c r="R204" s="164">
        <f>IF(AND(R198&gt;T198,$AL178&gt;5,$AL177&gt;3,ISNUMBER(R198),ISNUMBER(T198)),1,0)</f>
        <v>0</v>
      </c>
      <c r="S204" s="164"/>
      <c r="T204" s="165">
        <f>IF(AND(T198&gt;R198,$AL178&gt;5,$AL177&gt;3,ISNUMBER(R198),ISNUMBER(T198)),1,0)</f>
        <v>0</v>
      </c>
      <c r="U204" s="164">
        <f>IF(AND(U198&gt;W198,$AL178&gt;6,$AL177&gt;3,ISNUMBER(U198),ISNUMBER(W198)),1,0)</f>
        <v>0</v>
      </c>
      <c r="V204" s="164"/>
      <c r="W204" s="165">
        <f>IF(AND(W198&gt;U198,$AL178&gt;6,$AL177&gt;3,ISNUMBER(U198),ISNUMBER(W198)),1,0)</f>
        <v>0</v>
      </c>
      <c r="X204" s="164">
        <f>IF(AND(X198&gt;Z198,$AL178&gt;7,$AL177&gt;3,ISNUMBER(X198),ISNUMBER(Z198)),1,0)</f>
        <v>0</v>
      </c>
      <c r="Y204" s="164"/>
      <c r="Z204" s="165">
        <f>IF(AND(Z198&gt;X198,$AL178&gt;7,$AL177&gt;3,ISNUMBER(X198),ISNUMBER(Z198)),1,0)</f>
        <v>0</v>
      </c>
      <c r="AA204" s="164">
        <f>IF(AND(AA198&gt;AC198,$AL178&gt;8,$AL177&gt;3,ISNUMBER(AA198),ISNUMBER(AC198)),1,0)</f>
        <v>0</v>
      </c>
      <c r="AB204" s="164"/>
      <c r="AC204" s="165">
        <f>IF(AND(AC198&gt;AA198,$AL178&gt;8,$AL177&gt;3,ISNUMBER(AA198),ISNUMBER(AC198)),1,0)</f>
        <v>0</v>
      </c>
      <c r="AD204" s="164">
        <f>IF(AND(AD198&gt;AF198,$AL178&gt;9,$AL177&gt;3,ISNUMBER(AD198),ISNUMBER(AF198)),1,0)</f>
        <v>0</v>
      </c>
      <c r="AE204" s="164"/>
      <c r="AF204" s="165">
        <f>IF(AND(AF198&gt;AD198,$AL178&gt;9,$AL177&gt;3,ISNUMBER(AD198),ISNUMBER(AF198)),1,0)</f>
        <v>0</v>
      </c>
      <c r="AW204" s="166"/>
    </row>
    <row r="205" spans="1:49" s="115" customFormat="1" ht="12.75" hidden="1" customHeight="1">
      <c r="A205" s="115" t="s">
        <v>205</v>
      </c>
      <c r="B205" s="164">
        <f>IF(AND(B199&gt;D199,$AL178&gt;0,$AL177&gt;4,ISNUMBER(B199),ISNUMBER(D199)),1,0)</f>
        <v>0</v>
      </c>
      <c r="C205" s="164"/>
      <c r="D205" s="165">
        <f>IF(AND(D199&gt;B199,$AL178&gt;0,$AL177&gt;4,ISNUMBER(B199),ISNUMBER(D199)),1,0)</f>
        <v>0</v>
      </c>
      <c r="E205" s="164">
        <f>IF(AND(E199&gt;G199,$AL178&gt;1,$AL177&gt;4,ISNUMBER(E199),ISNUMBER(G199)),1,0)</f>
        <v>0</v>
      </c>
      <c r="F205" s="164"/>
      <c r="G205" s="165">
        <f>IF(AND(G199&gt;E199,$AL178&gt;1,$AL177&gt;4,ISNUMBER(E199),ISNUMBER(G199)),1,0)</f>
        <v>0</v>
      </c>
      <c r="H205" s="164">
        <f>IF(AND(H199&gt;J199,$AL178&gt;2,$AL177&gt;4,ISNUMBER(H199),ISNUMBER(J199)),1,0)</f>
        <v>0</v>
      </c>
      <c r="I205" s="164"/>
      <c r="J205" s="165">
        <f>IF(AND(J199&gt;H199,$AL178&gt;2,$AL177&gt;4,ISNUMBER(H199),ISNUMBER(J199)),1,0)</f>
        <v>0</v>
      </c>
      <c r="K205" s="168"/>
      <c r="L205" s="164">
        <f>IF(AND(L199&gt;N199,$AL178&gt;3,$AL177&gt;4,ISNUMBER(L199),ISNUMBER(N199)),1,0)</f>
        <v>0</v>
      </c>
      <c r="M205" s="164"/>
      <c r="N205" s="165">
        <f>IF(AND(N199&gt;L199,$AL178&gt;3,$AL177&gt;4,ISNUMBER(L199),ISNUMBER(N199)),1,0)</f>
        <v>0</v>
      </c>
      <c r="O205" s="164">
        <f>IF(AND(O199&gt;Q199,$AL178&gt;4,$AL177&gt;4,ISNUMBER(O199),ISNUMBER(Q199)),1,0)</f>
        <v>0</v>
      </c>
      <c r="P205" s="164"/>
      <c r="Q205" s="165">
        <f>IF(AND(Q199&gt;O199,$AL178&gt;4,$AL177&gt;4,ISNUMBER(O199),ISNUMBER(Q199)),1,0)</f>
        <v>0</v>
      </c>
      <c r="R205" s="164">
        <f>IF(AND(R199&gt;T199,$AL178&gt;5,$AL177&gt;4,ISNUMBER(R199),ISNUMBER(T199)),1,0)</f>
        <v>0</v>
      </c>
      <c r="S205" s="164"/>
      <c r="T205" s="165">
        <f>IF(AND(T199&gt;R199,$AL178&gt;5,$AL177&gt;4,ISNUMBER(R199),ISNUMBER(T199)),1,0)</f>
        <v>0</v>
      </c>
      <c r="U205" s="164">
        <f>IF(AND(U199&gt;W199,$AL178&gt;6,$AL177&gt;4,ISNUMBER(U199),ISNUMBER(W199)),1,0)</f>
        <v>0</v>
      </c>
      <c r="V205" s="164"/>
      <c r="W205" s="165">
        <f>IF(AND(W199&gt;U199,$AL178&gt;6,$AL177&gt;4,ISNUMBER(U199),ISNUMBER(W199)),1,0)</f>
        <v>0</v>
      </c>
      <c r="X205" s="164">
        <f>IF(AND(X199&gt;Z199,$AL178&gt;7,$AL177&gt;4,ISNUMBER(X199),ISNUMBER(Z199)),1,0)</f>
        <v>0</v>
      </c>
      <c r="Y205" s="164"/>
      <c r="Z205" s="165">
        <f>IF(AND(Z199&gt;X199,$AL178&gt;7,$AL177&gt;4,ISNUMBER(X199),ISNUMBER(Z199)),1,0)</f>
        <v>0</v>
      </c>
      <c r="AA205" s="164">
        <f>IF(AND(AA199&gt;AC199,$AL178&gt;8,$AL177&gt;4,ISNUMBER(AA199),ISNUMBER(AC199)),1,0)</f>
        <v>0</v>
      </c>
      <c r="AB205" s="164"/>
      <c r="AC205" s="165">
        <f>IF(AND(AC199&gt;AA199,$AL178&gt;8,$AL177&gt;4,ISNUMBER(AA199),ISNUMBER(AC199)),1,0)</f>
        <v>0</v>
      </c>
      <c r="AD205" s="164">
        <f>IF(AND(AD199&gt;AF199,$AL178&gt;9,$AL177&gt;4,ISNUMBER(AD199),ISNUMBER(AF199)),1,0)</f>
        <v>0</v>
      </c>
      <c r="AE205" s="164"/>
      <c r="AF205" s="165">
        <f>IF(AND(AF199&gt;AD199,$AL178&gt;9,$AL177&gt;4,ISNUMBER(AD199),ISNUMBER(AF199)),1,0)</f>
        <v>0</v>
      </c>
      <c r="AW205" s="166"/>
    </row>
    <row r="206" spans="1:49" s="115" customFormat="1" ht="38.25" hidden="1" customHeight="1">
      <c r="A206" s="167" t="s">
        <v>206</v>
      </c>
      <c r="B206" s="115">
        <f>SUM(B201:B205)</f>
        <v>1</v>
      </c>
      <c r="D206" s="168">
        <f>SUM(D201:D205)</f>
        <v>0</v>
      </c>
      <c r="E206" s="115">
        <f>SUM(E201:E205)</f>
        <v>0</v>
      </c>
      <c r="G206" s="168">
        <f>SUM(G201:G205)</f>
        <v>1</v>
      </c>
      <c r="H206" s="115">
        <f>SUM(H201:H205)</f>
        <v>0</v>
      </c>
      <c r="J206" s="168">
        <f>SUM(J201:J205)</f>
        <v>1</v>
      </c>
      <c r="K206" s="168"/>
      <c r="L206" s="115">
        <f>SUM(L201:L205)</f>
        <v>0</v>
      </c>
      <c r="N206" s="168">
        <f>SUM(N201:N205)</f>
        <v>1</v>
      </c>
      <c r="O206" s="115">
        <f>SUM(O201:O205)</f>
        <v>0</v>
      </c>
      <c r="Q206" s="168">
        <f>SUM(Q201:Q205)</f>
        <v>1</v>
      </c>
      <c r="R206" s="115">
        <f>SUM(R201:R205)</f>
        <v>0</v>
      </c>
      <c r="T206" s="168">
        <f>SUM(T201:T205)</f>
        <v>1</v>
      </c>
      <c r="U206" s="115">
        <f>SUM(U201:U205)</f>
        <v>0</v>
      </c>
      <c r="W206" s="168">
        <f>SUM(W201:W205)</f>
        <v>0</v>
      </c>
      <c r="X206" s="115">
        <f>SUM(X201:X205)</f>
        <v>0</v>
      </c>
      <c r="Z206" s="168">
        <f>SUM(Z201:Z205)</f>
        <v>0</v>
      </c>
      <c r="AA206" s="115">
        <f>SUM(AA201:AA205)</f>
        <v>0</v>
      </c>
      <c r="AC206" s="168">
        <f>SUM(AC201:AC205)</f>
        <v>0</v>
      </c>
      <c r="AD206" s="115">
        <f>SUM(AD201:AD205)</f>
        <v>0</v>
      </c>
      <c r="AF206" s="168">
        <f>SUM(AF201:AF205)</f>
        <v>0</v>
      </c>
      <c r="AW206" s="166"/>
    </row>
    <row r="207" spans="1:49" s="115" customFormat="1" ht="25.5" hidden="1" customHeight="1">
      <c r="A207" s="167" t="s">
        <v>207</v>
      </c>
      <c r="B207" s="115">
        <f>IF(B206&gt;D206,IF(C241=AL177,1,IF(C241=AL177-1,1,0)),0)</f>
        <v>1</v>
      </c>
      <c r="C207" s="115">
        <f>B207+D207</f>
        <v>1</v>
      </c>
      <c r="D207" s="168">
        <f>IF(D206&gt;B206,IF(C241=AL177,1,IF(C241=AL177-1,1,0)),0)</f>
        <v>0</v>
      </c>
      <c r="E207" s="115">
        <f>IF(E206&gt;G206,IF(F241=AL177,1,IF(F241=AL177-1,1,0)),0)</f>
        <v>0</v>
      </c>
      <c r="F207" s="115">
        <f>E207+G207</f>
        <v>1</v>
      </c>
      <c r="G207" s="168">
        <f>IF(G206&gt;E206,IF(F241=AL177,1,IF(F241=AL177-1,1,0)),0)</f>
        <v>1</v>
      </c>
      <c r="H207" s="115">
        <f>IF(H206&gt;J206,IF(I241=AL177,1,IF(I241=AL177-1,1,0)),0)</f>
        <v>0</v>
      </c>
      <c r="I207" s="115">
        <f>H207+J207</f>
        <v>1</v>
      </c>
      <c r="J207" s="168">
        <f>IF(J206&gt;H206,IF(I241=AL177,1,IF(I241=AL177-1,1,0)),0)</f>
        <v>1</v>
      </c>
      <c r="K207" s="168"/>
      <c r="L207" s="115">
        <f>IF(L206&gt;N206,IF(M241=AL177,1,IF(M241=AL177-1,1,0)),0)</f>
        <v>0</v>
      </c>
      <c r="M207" s="115">
        <f>L207+N207</f>
        <v>1</v>
      </c>
      <c r="N207" s="168">
        <f>IF(N206&gt;L206,IF(M241=AL177,1,IF(M241=AL177-1,1,0)),0)</f>
        <v>1</v>
      </c>
      <c r="O207" s="115">
        <f>IF(O206&gt;Q206,IF(P241=AL177,1,IF(P241=AL177-1,1,0)),0)</f>
        <v>0</v>
      </c>
      <c r="P207" s="115">
        <f>O207+Q207</f>
        <v>1</v>
      </c>
      <c r="Q207" s="168">
        <f>IF(Q206&gt;O206,IF(P241=AL177,1,IF(P241=AL177-1,1,0)),0)</f>
        <v>1</v>
      </c>
      <c r="R207" s="115">
        <f>IF(R206&gt;T206,IF(S241=AL177,1,IF(S241=AL177-1,1,0)),0)</f>
        <v>0</v>
      </c>
      <c r="S207" s="115">
        <f>R207+T207</f>
        <v>1</v>
      </c>
      <c r="T207" s="168">
        <f>IF(T206&gt;R206,IF(S241=AL177,1,IF(S241=AL177-1,1,0)),0)</f>
        <v>1</v>
      </c>
      <c r="U207" s="115">
        <f>IF(U206&gt;W206,IF(V241=AL177,1,IF(V241=AL177-1,1,0)),0)</f>
        <v>0</v>
      </c>
      <c r="V207" s="115">
        <f>U207+W207</f>
        <v>0</v>
      </c>
      <c r="W207" s="168">
        <f>IF(W206&gt;U206,IF(V241=AL177,1,IF(V241=AL177-1,1,0)),0)</f>
        <v>0</v>
      </c>
      <c r="X207" s="115">
        <f>IF(X206&gt;Z206,IF(Y241=AL177,1,IF(Y241=AL177-1,1,0)),0)</f>
        <v>0</v>
      </c>
      <c r="Y207" s="115">
        <f>X207+Z207</f>
        <v>0</v>
      </c>
      <c r="Z207" s="168">
        <f>IF(Z206&gt;X206,IF(Y241=AL177,1,IF(Y241=AL177-1,1,0)),0)</f>
        <v>0</v>
      </c>
      <c r="AA207" s="115">
        <f>IF(AA206&gt;AC206,IF(AB241=AL177,1,IF(AB241=AL177-1,1,0)),0)</f>
        <v>0</v>
      </c>
      <c r="AB207" s="115">
        <f>AA207+AC207</f>
        <v>0</v>
      </c>
      <c r="AC207" s="168">
        <f>IF(AC206&gt;AA206,IF(AB241=AL177,1,IF(AB241=AL177-1,1,0)),0)</f>
        <v>0</v>
      </c>
      <c r="AD207" s="115">
        <f>IF(AD206&gt;AF206,IF(AE241=AL177,1,IF(AE241=AL177-1,1,0)),0)</f>
        <v>0</v>
      </c>
      <c r="AE207" s="115">
        <f>AD207+AF207</f>
        <v>0</v>
      </c>
      <c r="AF207" s="168">
        <f>IF(AF206&gt;AD206,IF(AE241=AL177,1,IF(AE241=AL177-1,1,0)),0)</f>
        <v>0</v>
      </c>
      <c r="AW207" s="166"/>
    </row>
    <row r="208" spans="1:49" s="115" customFormat="1" ht="25.5" hidden="1" customHeight="1">
      <c r="A208" s="167"/>
      <c r="D208" s="168"/>
      <c r="G208" s="168"/>
      <c r="J208" s="168"/>
      <c r="K208" s="168"/>
      <c r="N208" s="168"/>
      <c r="Q208" s="168"/>
      <c r="T208" s="168"/>
      <c r="W208" s="168"/>
      <c r="Z208" s="168"/>
      <c r="AC208" s="168"/>
      <c r="AF208" s="168"/>
      <c r="AW208" s="166"/>
    </row>
    <row r="209" spans="1:49" s="115" customFormat="1" ht="12.75" hidden="1" customHeight="1">
      <c r="A209" s="115" t="s">
        <v>208</v>
      </c>
      <c r="B209" s="115">
        <f>IF(B201=1,B195,0)</f>
        <v>19</v>
      </c>
      <c r="D209" s="168">
        <f t="shared" ref="D209:E213" si="18">IF(D201=1,D195,0)</f>
        <v>0</v>
      </c>
      <c r="E209" s="115">
        <f t="shared" si="18"/>
        <v>0</v>
      </c>
      <c r="G209" s="168">
        <f t="shared" ref="G209:H213" si="19">IF(G201=1,G195,0)</f>
        <v>22</v>
      </c>
      <c r="H209" s="115">
        <f t="shared" si="19"/>
        <v>0</v>
      </c>
      <c r="J209" s="168">
        <f>IF(J201=1,J195,0)</f>
        <v>19</v>
      </c>
      <c r="K209" s="168"/>
      <c r="L209" s="115">
        <f>IF(L201=1,L195,0)</f>
        <v>0</v>
      </c>
      <c r="N209" s="168">
        <f t="shared" ref="N209:O213" si="20">IF(N201=1,N195,0)</f>
        <v>20</v>
      </c>
      <c r="O209" s="115">
        <f t="shared" si="20"/>
        <v>0</v>
      </c>
      <c r="Q209" s="168">
        <f t="shared" ref="Q209:R213" si="21">IF(Q201=1,Q195,0)</f>
        <v>24</v>
      </c>
      <c r="R209" s="115">
        <f t="shared" si="21"/>
        <v>0</v>
      </c>
      <c r="T209" s="168">
        <f t="shared" ref="T209:U213" si="22">IF(T201=1,T195,0)</f>
        <v>19</v>
      </c>
      <c r="U209" s="115">
        <f t="shared" si="22"/>
        <v>0</v>
      </c>
      <c r="W209" s="168">
        <f t="shared" ref="W209:X213" si="23">IF(W201=1,W195,0)</f>
        <v>0</v>
      </c>
      <c r="X209" s="115">
        <f t="shared" si="23"/>
        <v>0</v>
      </c>
      <c r="Z209" s="168">
        <f t="shared" ref="Z209:AA213" si="24">IF(Z201=1,Z195,0)</f>
        <v>0</v>
      </c>
      <c r="AA209" s="115">
        <f t="shared" si="24"/>
        <v>0</v>
      </c>
      <c r="AC209" s="168">
        <f t="shared" ref="AC209:AD213" si="25">IF(AC201=1,AC195,0)</f>
        <v>0</v>
      </c>
      <c r="AD209" s="115">
        <f t="shared" si="25"/>
        <v>0</v>
      </c>
      <c r="AF209" s="168">
        <f>IF(AF201=1,AF195,0)</f>
        <v>0</v>
      </c>
      <c r="AW209" s="166"/>
    </row>
    <row r="210" spans="1:49" s="115" customFormat="1" ht="12.75" hidden="1" customHeight="1">
      <c r="A210" s="115" t="s">
        <v>209</v>
      </c>
      <c r="B210" s="115">
        <f>IF(B202=1,B196,0)</f>
        <v>0</v>
      </c>
      <c r="D210" s="168">
        <f t="shared" si="18"/>
        <v>0</v>
      </c>
      <c r="E210" s="115">
        <f t="shared" si="18"/>
        <v>0</v>
      </c>
      <c r="G210" s="168">
        <f t="shared" si="19"/>
        <v>0</v>
      </c>
      <c r="H210" s="115">
        <f t="shared" si="19"/>
        <v>0</v>
      </c>
      <c r="J210" s="168">
        <f>IF(J202=1,J196,0)</f>
        <v>0</v>
      </c>
      <c r="K210" s="168"/>
      <c r="L210" s="115">
        <f>IF(L202=1,L196,0)</f>
        <v>0</v>
      </c>
      <c r="N210" s="168">
        <f t="shared" si="20"/>
        <v>0</v>
      </c>
      <c r="O210" s="115">
        <f t="shared" si="20"/>
        <v>0</v>
      </c>
      <c r="Q210" s="168">
        <f t="shared" si="21"/>
        <v>0</v>
      </c>
      <c r="R210" s="115">
        <f t="shared" si="21"/>
        <v>0</v>
      </c>
      <c r="T210" s="168">
        <f t="shared" si="22"/>
        <v>0</v>
      </c>
      <c r="U210" s="115">
        <f t="shared" si="22"/>
        <v>0</v>
      </c>
      <c r="W210" s="168">
        <f t="shared" si="23"/>
        <v>0</v>
      </c>
      <c r="X210" s="115">
        <f t="shared" si="23"/>
        <v>0</v>
      </c>
      <c r="Z210" s="168">
        <f t="shared" si="24"/>
        <v>0</v>
      </c>
      <c r="AA210" s="115">
        <f t="shared" si="24"/>
        <v>0</v>
      </c>
      <c r="AC210" s="168">
        <f t="shared" si="25"/>
        <v>0</v>
      </c>
      <c r="AD210" s="115">
        <f t="shared" si="25"/>
        <v>0</v>
      </c>
      <c r="AF210" s="168">
        <f>IF(AF202=1,AF196,0)</f>
        <v>0</v>
      </c>
      <c r="AW210" s="166"/>
    </row>
    <row r="211" spans="1:49" s="115" customFormat="1" ht="12.75" hidden="1" customHeight="1">
      <c r="A211" s="115" t="s">
        <v>210</v>
      </c>
      <c r="B211" s="115">
        <f>IF(B203=1,B197,0)</f>
        <v>0</v>
      </c>
      <c r="D211" s="168">
        <f t="shared" si="18"/>
        <v>0</v>
      </c>
      <c r="E211" s="115">
        <f t="shared" si="18"/>
        <v>0</v>
      </c>
      <c r="G211" s="168">
        <f t="shared" si="19"/>
        <v>0</v>
      </c>
      <c r="H211" s="115">
        <f t="shared" si="19"/>
        <v>0</v>
      </c>
      <c r="J211" s="168">
        <f>IF(J203=1,J197,0)</f>
        <v>0</v>
      </c>
      <c r="K211" s="168"/>
      <c r="L211" s="115">
        <f>IF(L203=1,L197,0)</f>
        <v>0</v>
      </c>
      <c r="N211" s="168">
        <f t="shared" si="20"/>
        <v>0</v>
      </c>
      <c r="O211" s="115">
        <f t="shared" si="20"/>
        <v>0</v>
      </c>
      <c r="Q211" s="168">
        <f t="shared" si="21"/>
        <v>0</v>
      </c>
      <c r="R211" s="115">
        <f t="shared" si="21"/>
        <v>0</v>
      </c>
      <c r="T211" s="168">
        <f t="shared" si="22"/>
        <v>0</v>
      </c>
      <c r="U211" s="115">
        <f t="shared" si="22"/>
        <v>0</v>
      </c>
      <c r="W211" s="168">
        <f t="shared" si="23"/>
        <v>0</v>
      </c>
      <c r="X211" s="115">
        <f t="shared" si="23"/>
        <v>0</v>
      </c>
      <c r="Z211" s="168">
        <f t="shared" si="24"/>
        <v>0</v>
      </c>
      <c r="AA211" s="115">
        <f t="shared" si="24"/>
        <v>0</v>
      </c>
      <c r="AC211" s="168">
        <f t="shared" si="25"/>
        <v>0</v>
      </c>
      <c r="AD211" s="115">
        <f t="shared" si="25"/>
        <v>0</v>
      </c>
      <c r="AF211" s="168">
        <f>IF(AF203=1,AF197,0)</f>
        <v>0</v>
      </c>
      <c r="AW211" s="166"/>
    </row>
    <row r="212" spans="1:49" s="115" customFormat="1" ht="12.75" hidden="1" customHeight="1">
      <c r="A212" s="115" t="s">
        <v>211</v>
      </c>
      <c r="B212" s="115">
        <f>IF(B204=1,B198,0)</f>
        <v>0</v>
      </c>
      <c r="D212" s="168">
        <f t="shared" si="18"/>
        <v>0</v>
      </c>
      <c r="E212" s="115">
        <f t="shared" si="18"/>
        <v>0</v>
      </c>
      <c r="G212" s="168">
        <f t="shared" si="19"/>
        <v>0</v>
      </c>
      <c r="H212" s="115">
        <f t="shared" si="19"/>
        <v>0</v>
      </c>
      <c r="J212" s="168">
        <f>IF(J204=1,J198,0)</f>
        <v>0</v>
      </c>
      <c r="K212" s="168"/>
      <c r="L212" s="115">
        <f>IF(L204=1,L198,0)</f>
        <v>0</v>
      </c>
      <c r="N212" s="168">
        <f t="shared" si="20"/>
        <v>0</v>
      </c>
      <c r="O212" s="115">
        <f t="shared" si="20"/>
        <v>0</v>
      </c>
      <c r="Q212" s="168">
        <f t="shared" si="21"/>
        <v>0</v>
      </c>
      <c r="R212" s="115">
        <f t="shared" si="21"/>
        <v>0</v>
      </c>
      <c r="T212" s="168">
        <f t="shared" si="22"/>
        <v>0</v>
      </c>
      <c r="U212" s="115">
        <f t="shared" si="22"/>
        <v>0</v>
      </c>
      <c r="W212" s="168">
        <f t="shared" si="23"/>
        <v>0</v>
      </c>
      <c r="X212" s="115">
        <f t="shared" si="23"/>
        <v>0</v>
      </c>
      <c r="Z212" s="168">
        <f t="shared" si="24"/>
        <v>0</v>
      </c>
      <c r="AA212" s="115">
        <f t="shared" si="24"/>
        <v>0</v>
      </c>
      <c r="AC212" s="168">
        <f t="shared" si="25"/>
        <v>0</v>
      </c>
      <c r="AD212" s="115">
        <f t="shared" si="25"/>
        <v>0</v>
      </c>
      <c r="AF212" s="168">
        <f>IF(AF204=1,AF198,0)</f>
        <v>0</v>
      </c>
      <c r="AW212" s="166"/>
    </row>
    <row r="213" spans="1:49" s="115" customFormat="1" ht="12.75" hidden="1" customHeight="1">
      <c r="A213" s="115" t="s">
        <v>212</v>
      </c>
      <c r="B213" s="115">
        <f>IF(B205=1,B199,0)</f>
        <v>0</v>
      </c>
      <c r="D213" s="168">
        <f t="shared" si="18"/>
        <v>0</v>
      </c>
      <c r="E213" s="115">
        <f t="shared" si="18"/>
        <v>0</v>
      </c>
      <c r="G213" s="168">
        <f t="shared" si="19"/>
        <v>0</v>
      </c>
      <c r="H213" s="115">
        <f t="shared" si="19"/>
        <v>0</v>
      </c>
      <c r="J213" s="168">
        <f>IF(J205=1,J199,0)</f>
        <v>0</v>
      </c>
      <c r="K213" s="168"/>
      <c r="L213" s="115">
        <f>IF(L205=1,L199,0)</f>
        <v>0</v>
      </c>
      <c r="N213" s="168">
        <f t="shared" si="20"/>
        <v>0</v>
      </c>
      <c r="O213" s="115">
        <f t="shared" si="20"/>
        <v>0</v>
      </c>
      <c r="Q213" s="168">
        <f t="shared" si="21"/>
        <v>0</v>
      </c>
      <c r="R213" s="115">
        <f t="shared" si="21"/>
        <v>0</v>
      </c>
      <c r="T213" s="168">
        <f t="shared" si="22"/>
        <v>0</v>
      </c>
      <c r="U213" s="115">
        <f t="shared" si="22"/>
        <v>0</v>
      </c>
      <c r="W213" s="168">
        <f t="shared" si="23"/>
        <v>0</v>
      </c>
      <c r="X213" s="115">
        <f t="shared" si="23"/>
        <v>0</v>
      </c>
      <c r="Z213" s="168">
        <f t="shared" si="24"/>
        <v>0</v>
      </c>
      <c r="AA213" s="115">
        <f t="shared" si="24"/>
        <v>0</v>
      </c>
      <c r="AC213" s="168">
        <f t="shared" si="25"/>
        <v>0</v>
      </c>
      <c r="AD213" s="115">
        <f t="shared" si="25"/>
        <v>0</v>
      </c>
      <c r="AF213" s="168">
        <f>IF(AF205=1,AF199,0)</f>
        <v>0</v>
      </c>
      <c r="AW213" s="166"/>
    </row>
    <row r="214" spans="1:49" s="115" customFormat="1" ht="38.25" hidden="1" customHeight="1">
      <c r="A214" s="167" t="s">
        <v>213</v>
      </c>
      <c r="B214" s="115">
        <f>SUM(B209:D213)</f>
        <v>19</v>
      </c>
      <c r="D214" s="168"/>
      <c r="E214" s="115">
        <f>SUM(E209:G213)</f>
        <v>22</v>
      </c>
      <c r="G214" s="168"/>
      <c r="H214" s="115">
        <f>SUM(H209:J213)</f>
        <v>19</v>
      </c>
      <c r="J214" s="168"/>
      <c r="K214" s="168"/>
      <c r="L214" s="115">
        <f>SUM(L209:N213)</f>
        <v>20</v>
      </c>
      <c r="N214" s="168"/>
      <c r="O214" s="115">
        <f>SUM(O209:Q213)</f>
        <v>24</v>
      </c>
      <c r="Q214" s="168"/>
      <c r="R214" s="115">
        <f>SUM(R209:T213)</f>
        <v>19</v>
      </c>
      <c r="T214" s="168"/>
      <c r="U214" s="115">
        <f>SUM(U209:W213)</f>
        <v>0</v>
      </c>
      <c r="W214" s="168"/>
      <c r="X214" s="115">
        <f>SUM(X209:Z213)</f>
        <v>0</v>
      </c>
      <c r="Z214" s="168"/>
      <c r="AA214" s="115">
        <f>SUM(AA209:AC213)</f>
        <v>0</v>
      </c>
      <c r="AC214" s="168"/>
      <c r="AD214" s="115">
        <f>SUM(AD209:AF213)</f>
        <v>0</v>
      </c>
      <c r="AF214" s="168"/>
      <c r="AW214" s="166"/>
    </row>
    <row r="215" spans="1:49" s="115" customFormat="1" ht="38.25" hidden="1" customHeight="1">
      <c r="A215" s="115" t="s">
        <v>214</v>
      </c>
      <c r="D215" s="168"/>
      <c r="G215" s="168"/>
      <c r="J215" s="168"/>
      <c r="K215" s="168"/>
      <c r="N215" s="168"/>
      <c r="Q215" s="168"/>
      <c r="T215" s="168"/>
      <c r="W215" s="168"/>
      <c r="Z215" s="168"/>
      <c r="AC215" s="168"/>
      <c r="AF215" s="168"/>
      <c r="AG215" s="167" t="s">
        <v>215</v>
      </c>
      <c r="AH215" s="115" t="s">
        <v>216</v>
      </c>
      <c r="AW215" s="166"/>
    </row>
    <row r="216" spans="1:49" s="115" customFormat="1" ht="12.75" hidden="1" customHeight="1">
      <c r="A216" s="115" t="s">
        <v>38</v>
      </c>
      <c r="B216" s="115">
        <f>IF(B194=1,IF(B207=1,1,0),0)</f>
        <v>1</v>
      </c>
      <c r="D216" s="168">
        <f>IF(D194=1,IF(D207=1,1,0),0)</f>
        <v>0</v>
      </c>
      <c r="E216" s="115">
        <f>IF(E194=1,IF(E207=1,1,0),0)</f>
        <v>0</v>
      </c>
      <c r="G216" s="168">
        <f>IF(G194=1,IF(G207=1,1,0),0)</f>
        <v>0</v>
      </c>
      <c r="H216" s="115">
        <f>IF(H194=1,IF(H207=1,1,0),0)</f>
        <v>0</v>
      </c>
      <c r="J216" s="168">
        <f>IF(J194=1,IF(J207=1,1,0),0)</f>
        <v>0</v>
      </c>
      <c r="K216" s="168"/>
      <c r="L216" s="115">
        <f>IF(L194=1,IF(L207=1,1,0),0)</f>
        <v>0</v>
      </c>
      <c r="N216" s="168">
        <f>IF(N194=1,IF(N207=1,1,0),0)</f>
        <v>0</v>
      </c>
      <c r="O216" s="115">
        <f>IF(O194=1,IF(O207=1,1,0),0)</f>
        <v>0</v>
      </c>
      <c r="Q216" s="168">
        <f>IF(Q194=1,IF(Q207=1,1,0),0)</f>
        <v>0</v>
      </c>
      <c r="R216" s="115">
        <f>IF(R194=1,IF(R207=1,1,0),0)</f>
        <v>0</v>
      </c>
      <c r="T216" s="168">
        <f>IF(T194=1,IF(T207=1,1,0),0)</f>
        <v>0</v>
      </c>
      <c r="U216" s="115">
        <f>IF(U194=1,IF(U207=1,1,0),0)</f>
        <v>0</v>
      </c>
      <c r="W216" s="168">
        <f>IF(W194=1,IF(W207=1,1,0),0)</f>
        <v>0</v>
      </c>
      <c r="X216" s="115">
        <f>IF(X194=1,IF(X207=1,1,0),0)</f>
        <v>0</v>
      </c>
      <c r="Z216" s="168">
        <f>IF(Z194=1,IF(Z207=1,1,0),0)</f>
        <v>0</v>
      </c>
      <c r="AA216" s="115">
        <f>IF(AA194=1,IF(AA207=1,1,0),0)</f>
        <v>0</v>
      </c>
      <c r="AC216" s="168">
        <f>IF(AC194=1,IF(AC207=1,1,0),0)</f>
        <v>0</v>
      </c>
      <c r="AD216" s="115">
        <f>IF(AD194=1,IF(AD207=1,1,0),0)</f>
        <v>0</v>
      </c>
      <c r="AF216" s="168">
        <f>IF(AF194=1,IF(AF207=1,1,0),0)</f>
        <v>0</v>
      </c>
      <c r="AG216" s="115">
        <f>SUM(B216:AF216)</f>
        <v>1</v>
      </c>
      <c r="AH216" s="115">
        <f>AG222-AG216</f>
        <v>3</v>
      </c>
      <c r="AW216" s="166"/>
    </row>
    <row r="217" spans="1:49" s="115" customFormat="1" ht="12.75" hidden="1" customHeight="1">
      <c r="A217" s="115" t="s">
        <v>39</v>
      </c>
      <c r="B217" s="115">
        <f>IF(B194=2,IF(B207=1,1,0),0)</f>
        <v>0</v>
      </c>
      <c r="D217" s="168">
        <f>IF(D194=2,IF(D207=1,1,0),0)</f>
        <v>0</v>
      </c>
      <c r="E217" s="115">
        <f>IF(E194=2,IF(E207=1,1,0),0)</f>
        <v>0</v>
      </c>
      <c r="G217" s="168">
        <f>IF(G194=2,IF(G207=1,1,0),0)</f>
        <v>0</v>
      </c>
      <c r="H217" s="115">
        <f>IF(H194=2,IF(H207=1,1,0),0)</f>
        <v>0</v>
      </c>
      <c r="J217" s="168">
        <f>IF(J194=2,IF(J207=1,1,0),0)</f>
        <v>0</v>
      </c>
      <c r="K217" s="168"/>
      <c r="L217" s="115">
        <f>IF(L194=2,IF(L207=1,1,0),0)</f>
        <v>0</v>
      </c>
      <c r="N217" s="168">
        <f>IF(N194=2,IF(N207=1,1,0),0)</f>
        <v>1</v>
      </c>
      <c r="O217" s="115">
        <f>IF(O194=2,IF(O207=1,1,0),0)</f>
        <v>0</v>
      </c>
      <c r="Q217" s="168">
        <f>IF(Q194=2,IF(Q207=1,1,0),0)</f>
        <v>0</v>
      </c>
      <c r="R217" s="115">
        <f>IF(R194=2,IF(R207=1,1,0),0)</f>
        <v>0</v>
      </c>
      <c r="T217" s="168">
        <f>IF(T194=2,IF(T207=1,1,0),0)</f>
        <v>0</v>
      </c>
      <c r="U217" s="115">
        <f>IF(U194=2,IF(U207=1,1,0),0)</f>
        <v>0</v>
      </c>
      <c r="W217" s="168">
        <f>IF(W194=2,IF(W207=1,1,0),0)</f>
        <v>0</v>
      </c>
      <c r="X217" s="115">
        <f>IF(X194=2,IF(X207=1,1,0),0)</f>
        <v>0</v>
      </c>
      <c r="Z217" s="168">
        <f>IF(Z194=2,IF(Z207=1,1,0),0)</f>
        <v>0</v>
      </c>
      <c r="AA217" s="115">
        <f>IF(AA194=2,IF(AA207=1,1,0),0)</f>
        <v>0</v>
      </c>
      <c r="AC217" s="168">
        <f>IF(AC194=2,IF(AC207=1,1,0),0)</f>
        <v>0</v>
      </c>
      <c r="AD217" s="115">
        <f>IF(AD194=2,IF(AD207=1,1,0),0)</f>
        <v>0</v>
      </c>
      <c r="AF217" s="168">
        <f>IF(AF194=2,IF(AF207=1,1,0),0)</f>
        <v>0</v>
      </c>
      <c r="AG217" s="115">
        <f>SUM(B217:AF217)</f>
        <v>1</v>
      </c>
      <c r="AH217" s="115">
        <f>AG223-AG217</f>
        <v>3</v>
      </c>
      <c r="AW217" s="166"/>
    </row>
    <row r="218" spans="1:49" s="115" customFormat="1" ht="12.75" hidden="1" customHeight="1">
      <c r="A218" s="115" t="s">
        <v>40</v>
      </c>
      <c r="B218" s="115">
        <f>IF(B194=3,IF(B207=1,1,0),0)</f>
        <v>0</v>
      </c>
      <c r="D218" s="168">
        <f>IF(D194=3,IF(D207=1,1,0),0)</f>
        <v>0</v>
      </c>
      <c r="E218" s="115">
        <f>IF(E194=3,IF(E207=1,1,0),0)</f>
        <v>0</v>
      </c>
      <c r="G218" s="168">
        <f>IF(G194=3,IF(G207=1,1,0),0)</f>
        <v>1</v>
      </c>
      <c r="H218" s="115">
        <f>IF(H194=3,IF(H207=1,1,0),0)</f>
        <v>0</v>
      </c>
      <c r="J218" s="168">
        <f>IF(J194=3,IF(J207=1,1,0),0)</f>
        <v>1</v>
      </c>
      <c r="K218" s="168"/>
      <c r="L218" s="115">
        <f>IF(L194=3,IF(L207=1,1,0),0)</f>
        <v>0</v>
      </c>
      <c r="N218" s="168">
        <f>IF(N194=3,IF(N207=1,1,0),0)</f>
        <v>0</v>
      </c>
      <c r="O218" s="115">
        <f>IF(O194=3,IF(O207=1,1,0),0)</f>
        <v>0</v>
      </c>
      <c r="Q218" s="168">
        <f>IF(Q194=3,IF(Q207=1,1,0),0)</f>
        <v>1</v>
      </c>
      <c r="R218" s="115">
        <f>IF(R194=3,IF(R207=1,1,0),0)</f>
        <v>0</v>
      </c>
      <c r="T218" s="168">
        <f>IF(T194=3,IF(T207=1,1,0),0)</f>
        <v>1</v>
      </c>
      <c r="U218" s="115">
        <f>IF(U194=3,IF(U207=1,1,0),0)</f>
        <v>0</v>
      </c>
      <c r="W218" s="168">
        <f>IF(W194=3,IF(W207=1,1,0),0)</f>
        <v>0</v>
      </c>
      <c r="X218" s="115">
        <f>IF(X194=3,IF(X207=1,1,0),0)</f>
        <v>0</v>
      </c>
      <c r="Z218" s="168">
        <f>IF(Z194=3,IF(Z207=1,1,0),0)</f>
        <v>0</v>
      </c>
      <c r="AA218" s="115">
        <f>IF(AA194=3,IF(AA207=1,1,0),0)</f>
        <v>0</v>
      </c>
      <c r="AC218" s="168">
        <f>IF(AC194=3,IF(AC207=1,1,0),0)</f>
        <v>0</v>
      </c>
      <c r="AD218" s="115">
        <f>IF(AD194=3,IF(AD207=1,1,0),0)</f>
        <v>0</v>
      </c>
      <c r="AF218" s="168">
        <f>IF(AF194=3,IF(AF207=1,1,0),0)</f>
        <v>0</v>
      </c>
      <c r="AG218" s="115">
        <f>SUM(B218:AF218)</f>
        <v>4</v>
      </c>
      <c r="AH218" s="115">
        <f>AG224-AG218</f>
        <v>0</v>
      </c>
      <c r="AW218" s="166"/>
    </row>
    <row r="219" spans="1:49" s="115" customFormat="1" ht="12.75" hidden="1" customHeight="1">
      <c r="A219" s="115" t="s">
        <v>41</v>
      </c>
      <c r="B219" s="115">
        <f>IF(B194=4,IF(B207=1,1,0),0)</f>
        <v>0</v>
      </c>
      <c r="D219" s="168">
        <f>IF(D194=4,IF(D207=1,1,0),0)</f>
        <v>0</v>
      </c>
      <c r="E219" s="115">
        <f>IF(E194=4,IF(E207=1,1,0),0)</f>
        <v>0</v>
      </c>
      <c r="G219" s="168">
        <f>IF(G194=4,IF(G207=1,1,0),0)</f>
        <v>0</v>
      </c>
      <c r="H219" s="115">
        <f>IF(H194=4,IF(H207=1,1,0),0)</f>
        <v>0</v>
      </c>
      <c r="J219" s="168">
        <f>IF(J194=4,IF(J207=1,1,0),0)</f>
        <v>0</v>
      </c>
      <c r="K219" s="168"/>
      <c r="L219" s="115">
        <f>IF(L194=4,IF(L207=1,1,0),0)</f>
        <v>0</v>
      </c>
      <c r="N219" s="168">
        <f>IF(N194=4,IF(N207=1,1,0),0)</f>
        <v>0</v>
      </c>
      <c r="O219" s="115">
        <f>IF(O194=4,IF(O207=1,1,0),0)</f>
        <v>0</v>
      </c>
      <c r="Q219" s="168">
        <f>IF(Q194=4,IF(Q207=1,1,0),0)</f>
        <v>0</v>
      </c>
      <c r="R219" s="115">
        <f>IF(R194=4,IF(R207=1,1,0),0)</f>
        <v>0</v>
      </c>
      <c r="T219" s="168">
        <f>IF(T194=4,IF(T207=1,1,0),0)</f>
        <v>0</v>
      </c>
      <c r="U219" s="115">
        <f>IF(U194=4,IF(U207=1,1,0),0)</f>
        <v>0</v>
      </c>
      <c r="W219" s="168">
        <f>IF(W194=4,IF(W207=1,1,0),0)</f>
        <v>0</v>
      </c>
      <c r="X219" s="115">
        <f>IF(X194=4,IF(X207=1,1,0),0)</f>
        <v>0</v>
      </c>
      <c r="Z219" s="168">
        <f>IF(Z194=4,IF(Z207=1,1,0),0)</f>
        <v>0</v>
      </c>
      <c r="AA219" s="115">
        <f>IF(AA194=4,IF(AA207=1,1,0),0)</f>
        <v>0</v>
      </c>
      <c r="AC219" s="168">
        <f>IF(AC194=4,IF(AC207=1,1,0),0)</f>
        <v>0</v>
      </c>
      <c r="AD219" s="115">
        <f>IF(AD194=4,IF(AD207=1,1,0),0)</f>
        <v>0</v>
      </c>
      <c r="AF219" s="168">
        <f>IF(AF194=4,IF(AF207=1,1,0),0)</f>
        <v>0</v>
      </c>
      <c r="AG219" s="115">
        <f>SUM(B219:AF219)</f>
        <v>0</v>
      </c>
      <c r="AH219" s="115">
        <f>AG225-AG219</f>
        <v>0</v>
      </c>
      <c r="AW219" s="166"/>
    </row>
    <row r="220" spans="1:49" s="115" customFormat="1" ht="12.75" hidden="1" customHeight="1">
      <c r="A220" s="115" t="s">
        <v>42</v>
      </c>
      <c r="B220" s="115">
        <f>IF(B194=5,IF(B207=1,1,0),0)</f>
        <v>0</v>
      </c>
      <c r="D220" s="168">
        <f>IF(D194=5,IF(D207=1,1,0),0)</f>
        <v>0</v>
      </c>
      <c r="E220" s="115">
        <f>IF(E194=5,IF(E207=1,1,0),0)</f>
        <v>0</v>
      </c>
      <c r="G220" s="168">
        <f>IF(G194=5,IF(G207=1,1,0),0)</f>
        <v>0</v>
      </c>
      <c r="H220" s="115">
        <f>IF(H194=5,IF(H207=1,1,0),0)</f>
        <v>0</v>
      </c>
      <c r="J220" s="168">
        <f>IF(J194=5,IF(J207=1,1,0),0)</f>
        <v>0</v>
      </c>
      <c r="K220" s="168"/>
      <c r="L220" s="115">
        <f>IF(L194=5,IF(L207=1,1,0),0)</f>
        <v>0</v>
      </c>
      <c r="N220" s="168">
        <f>IF(N194=5,IF(N207=1,1,0),0)</f>
        <v>0</v>
      </c>
      <c r="O220" s="115">
        <f>IF(O194=5,IF(O207=1,1,0),0)</f>
        <v>0</v>
      </c>
      <c r="Q220" s="168">
        <f>IF(Q194=5,IF(Q207=1,1,0),0)</f>
        <v>0</v>
      </c>
      <c r="R220" s="115">
        <f>IF(R194=5,IF(R207=1,1,0),0)</f>
        <v>0</v>
      </c>
      <c r="T220" s="168">
        <f>IF(T194=5,IF(T207=1,1,0),0)</f>
        <v>0</v>
      </c>
      <c r="U220" s="115">
        <f>IF(U194=5,IF(U207=1,1,0),0)</f>
        <v>0</v>
      </c>
      <c r="W220" s="168">
        <f>IF(W194=5,IF(W207=1,1,0),0)</f>
        <v>0</v>
      </c>
      <c r="X220" s="115">
        <f>IF(X194=5,IF(X207=1,1,0),0)</f>
        <v>0</v>
      </c>
      <c r="Z220" s="168">
        <f>IF(Z194=5,IF(Z207=1,1,0),0)</f>
        <v>0</v>
      </c>
      <c r="AA220" s="115">
        <f>IF(AA194=5,IF(AA207=1,1,0),0)</f>
        <v>0</v>
      </c>
      <c r="AC220" s="168">
        <f>IF(AC194=5,IF(AC207=1,1,0),0)</f>
        <v>0</v>
      </c>
      <c r="AD220" s="115">
        <f>IF(AD194=5,IF(AD207=1,1,0),0)</f>
        <v>0</v>
      </c>
      <c r="AF220" s="168">
        <f>IF(AF194=5,IF(AF207=1,1,0),0)</f>
        <v>0</v>
      </c>
      <c r="AG220" s="115">
        <f>SUM(B220:AF220)</f>
        <v>0</v>
      </c>
      <c r="AH220" s="115">
        <f>AG226-AG220</f>
        <v>0</v>
      </c>
      <c r="AW220" s="166"/>
    </row>
    <row r="221" spans="1:49" s="115" customFormat="1" ht="38.25" hidden="1" customHeight="1">
      <c r="A221" s="167"/>
      <c r="D221" s="168"/>
      <c r="G221" s="168"/>
      <c r="J221" s="168"/>
      <c r="K221" s="168"/>
      <c r="N221" s="168"/>
      <c r="Q221" s="168"/>
      <c r="T221" s="168"/>
      <c r="W221" s="168"/>
      <c r="Z221" s="168"/>
      <c r="AC221" s="168"/>
      <c r="AF221" s="168"/>
      <c r="AG221" s="167" t="s">
        <v>217</v>
      </c>
      <c r="AW221" s="166"/>
    </row>
    <row r="222" spans="1:49" s="115" customFormat="1" ht="12.75" hidden="1" customHeight="1">
      <c r="A222" s="115" t="s">
        <v>43</v>
      </c>
      <c r="B222" s="115">
        <f>IF(B194=1,IF(C207=1,1,0),0)</f>
        <v>1</v>
      </c>
      <c r="D222" s="168">
        <f>IF(D194=1,IF(C207=1,1,0),0)</f>
        <v>0</v>
      </c>
      <c r="E222" s="115">
        <f>IF(E194=1,IF(F207=1,1,0),0)</f>
        <v>0</v>
      </c>
      <c r="G222" s="168">
        <f>IF(G194=1,IF(F207=1,1,0),0)</f>
        <v>0</v>
      </c>
      <c r="H222" s="115">
        <f>IF(H194=1,IF(I207=1,1,0),0)</f>
        <v>1</v>
      </c>
      <c r="J222" s="168">
        <f>IF(J194=1,IF(I207=1,1,0),0)</f>
        <v>0</v>
      </c>
      <c r="K222" s="168"/>
      <c r="L222" s="115">
        <f>IF(L194=1,IF(M207=1,1,0),0)</f>
        <v>1</v>
      </c>
      <c r="N222" s="168">
        <f>IF(N194=1,IF(M207=1,1,0),0)</f>
        <v>0</v>
      </c>
      <c r="O222" s="115">
        <f>IF(O194=1,IF(P207=1,1,0),0)</f>
        <v>0</v>
      </c>
      <c r="Q222" s="168">
        <f>IF(Q194=1,IF(P207=1,1,0),0)</f>
        <v>0</v>
      </c>
      <c r="R222" s="115">
        <f>IF(R194=1,IF(S207=1,1,0),0)</f>
        <v>1</v>
      </c>
      <c r="T222" s="168">
        <f>IF(T194=1,IF(S207=1,1,0),0)</f>
        <v>0</v>
      </c>
      <c r="U222" s="115">
        <f>IF(U194=1,IF(V207=1,1,0),0)</f>
        <v>0</v>
      </c>
      <c r="W222" s="168">
        <f>IF(W194=1,IF(V207=1,1,0),0)</f>
        <v>0</v>
      </c>
      <c r="X222" s="115">
        <f>IF(X194=1,IF(Y207=1,1,0),0)</f>
        <v>0</v>
      </c>
      <c r="Z222" s="168">
        <f>IF(Z194=1,IF(Y207=1,1,0),0)</f>
        <v>0</v>
      </c>
      <c r="AA222" s="115">
        <f>IF(AA194=1,IF(AB207=1,1,0),0)</f>
        <v>0</v>
      </c>
      <c r="AC222" s="168">
        <f>IF(AC194=1,IF(AB207=1,1,0),0)</f>
        <v>0</v>
      </c>
      <c r="AD222" s="115">
        <f>IF(AD194=1,IF(AE207=1,1,0),0)</f>
        <v>0</v>
      </c>
      <c r="AF222" s="168">
        <f>IF(AF194=1,IF(AE207=1,1,0),0)</f>
        <v>0</v>
      </c>
      <c r="AG222" s="115">
        <f>SUM(B222:AF222)</f>
        <v>4</v>
      </c>
      <c r="AW222" s="166"/>
    </row>
    <row r="223" spans="1:49" s="115" customFormat="1" ht="12.75" hidden="1" customHeight="1">
      <c r="A223" s="115" t="s">
        <v>44</v>
      </c>
      <c r="B223" s="115">
        <f>IF(B194=2,IF(C207=1,1,0),0)</f>
        <v>0</v>
      </c>
      <c r="D223" s="168">
        <f>IF(D194=2,IF(C207=1,1,0),0)</f>
        <v>1</v>
      </c>
      <c r="E223" s="115">
        <f>IF(E194=2,IF(F207=1,1,0),0)</f>
        <v>1</v>
      </c>
      <c r="G223" s="168">
        <f>IF(G194=2,IF(F207=1,1,0),0)</f>
        <v>0</v>
      </c>
      <c r="H223" s="115">
        <f>IF(H194=2,IF(I207=1,1,0),0)</f>
        <v>0</v>
      </c>
      <c r="J223" s="168">
        <f>IF(J194=2,IF(I207=1,1,0),0)</f>
        <v>0</v>
      </c>
      <c r="K223" s="168"/>
      <c r="L223" s="115">
        <f>IF(L194=2,IF(M207=1,1,0),0)</f>
        <v>0</v>
      </c>
      <c r="N223" s="168">
        <f>IF(N194=2,IF(M207=1,1,0),0)</f>
        <v>1</v>
      </c>
      <c r="O223" s="115">
        <f>IF(O194=2,IF(P207=1,1,0),0)</f>
        <v>1</v>
      </c>
      <c r="Q223" s="168">
        <f>IF(Q194=2,IF(P207=1,1,0),0)</f>
        <v>0</v>
      </c>
      <c r="R223" s="115">
        <f>IF(R194=2,IF(S207=1,1,0),0)</f>
        <v>0</v>
      </c>
      <c r="T223" s="168">
        <f>IF(T194=2,IF(S207=1,1,0),0)</f>
        <v>0</v>
      </c>
      <c r="U223" s="115">
        <f>IF(U194=2,IF(V207=1,1,0),0)</f>
        <v>0</v>
      </c>
      <c r="W223" s="168">
        <f>IF(W194=2,IF(V207=1,1,0),0)</f>
        <v>0</v>
      </c>
      <c r="X223" s="115">
        <f>IF(X194=2,IF(Y207=1,1,0),0)</f>
        <v>0</v>
      </c>
      <c r="Z223" s="168">
        <f>IF(Z194=2,IF(Y207=1,1,0),0)</f>
        <v>0</v>
      </c>
      <c r="AA223" s="115">
        <f>IF(AA194=2,IF(AB207=1,1,0),0)</f>
        <v>0</v>
      </c>
      <c r="AC223" s="168">
        <f>IF(AC194=2,IF(AB207=1,1,0),0)</f>
        <v>0</v>
      </c>
      <c r="AD223" s="115">
        <f>IF(AD194=2,IF(AE207=1,1,0),0)</f>
        <v>0</v>
      </c>
      <c r="AF223" s="168">
        <f>IF(AF194=2,IF(AE207=1,1,0),0)</f>
        <v>0</v>
      </c>
      <c r="AG223" s="115">
        <f>SUM(B223:AF223)</f>
        <v>4</v>
      </c>
      <c r="AW223" s="166"/>
    </row>
    <row r="224" spans="1:49" s="115" customFormat="1" ht="12.75" hidden="1" customHeight="1">
      <c r="A224" s="115" t="s">
        <v>45</v>
      </c>
      <c r="B224" s="115">
        <f>IF(B194=3,IF(C207=1,1,0),0)</f>
        <v>0</v>
      </c>
      <c r="D224" s="168">
        <f>IF(D194=3,IF(C207=1,1,0),0)</f>
        <v>0</v>
      </c>
      <c r="E224" s="115">
        <f>IF(E194=3,IF(F207=1,1,0),0)</f>
        <v>0</v>
      </c>
      <c r="G224" s="168">
        <f>IF(G194=3,IF(F207=1,1,0),0)</f>
        <v>1</v>
      </c>
      <c r="H224" s="115">
        <f>IF(H194=3,IF(I207=1,1,0),0)</f>
        <v>0</v>
      </c>
      <c r="J224" s="168">
        <f>IF(J194=3,IF(I207=1,1,0),0)</f>
        <v>1</v>
      </c>
      <c r="K224" s="168"/>
      <c r="L224" s="115">
        <f>IF(L194=3,IF(M207=1,1,0),0)</f>
        <v>0</v>
      </c>
      <c r="N224" s="168">
        <f>IF(N194=3,IF(M207=1,1,0),0)</f>
        <v>0</v>
      </c>
      <c r="O224" s="115">
        <f>IF(O194=3,IF(P207=1,1,0),0)</f>
        <v>0</v>
      </c>
      <c r="Q224" s="168">
        <f>IF(Q194=3,IF(P207=1,1,0),0)</f>
        <v>1</v>
      </c>
      <c r="R224" s="115">
        <f>IF(R194=3,IF(S207=1,1,0),0)</f>
        <v>0</v>
      </c>
      <c r="T224" s="168">
        <f>IF(T194=3,IF(S207=1,1,0),0)</f>
        <v>1</v>
      </c>
      <c r="U224" s="115">
        <f>IF(U194=3,IF(V207=1,1,0),0)</f>
        <v>0</v>
      </c>
      <c r="W224" s="168">
        <f>IF(W194=3,IF(V207=1,1,0),0)</f>
        <v>0</v>
      </c>
      <c r="X224" s="115">
        <f>IF(X194=3,IF(Y207=1,1,0),0)</f>
        <v>0</v>
      </c>
      <c r="Z224" s="168">
        <f>IF(Z194=3,IF(Y207=1,1,0),0)</f>
        <v>0</v>
      </c>
      <c r="AA224" s="115">
        <f>IF(AA194=3,IF(AB207=1,1,0),0)</f>
        <v>0</v>
      </c>
      <c r="AC224" s="168">
        <f>IF(AC194=3,IF(AB207=1,1,0),0)</f>
        <v>0</v>
      </c>
      <c r="AD224" s="115">
        <f>IF(AD194=3,IF(AE207=1,1,0),0)</f>
        <v>0</v>
      </c>
      <c r="AF224" s="168">
        <f>IF(AF194=3,IF(AE207=1,1,0),0)</f>
        <v>0</v>
      </c>
      <c r="AG224" s="115">
        <f>SUM(B224:AF224)</f>
        <v>4</v>
      </c>
      <c r="AW224" s="166"/>
    </row>
    <row r="225" spans="1:49" s="115" customFormat="1" ht="12.75" hidden="1" customHeight="1">
      <c r="A225" s="115" t="s">
        <v>46</v>
      </c>
      <c r="B225" s="115">
        <f>IF(B194=4,IF(C207=1,1,0),0)</f>
        <v>0</v>
      </c>
      <c r="D225" s="168">
        <f>IF(D194=4,IF(C207=1,1,0),0)</f>
        <v>0</v>
      </c>
      <c r="E225" s="115">
        <f>IF(E194=4,IF(F207=1,1,0),0)</f>
        <v>0</v>
      </c>
      <c r="G225" s="168">
        <f>IF(G194=4,IF(F207=1,1,0),0)</f>
        <v>0</v>
      </c>
      <c r="H225" s="115">
        <f>IF(H194=4,IF(I207=1,1,0),0)</f>
        <v>0</v>
      </c>
      <c r="J225" s="168">
        <f>IF(J194=4,IF(I207=1,1,0),0)</f>
        <v>0</v>
      </c>
      <c r="K225" s="168"/>
      <c r="L225" s="115">
        <f>IF(L194=4,IF(M207=1,1,0),0)</f>
        <v>0</v>
      </c>
      <c r="N225" s="168">
        <f>IF(N194=4,IF(M207=1,1,0),0)</f>
        <v>0</v>
      </c>
      <c r="O225" s="115">
        <f>IF(O194=4,IF(P207=1,1,0),0)</f>
        <v>0</v>
      </c>
      <c r="Q225" s="168">
        <f>IF(Q194=4,IF(P207=1,1,0),0)</f>
        <v>0</v>
      </c>
      <c r="R225" s="115">
        <f>IF(R194=4,IF(S207=1,1,0),0)</f>
        <v>0</v>
      </c>
      <c r="T225" s="168">
        <f>IF(T194=4,IF(S207=1,1,0),0)</f>
        <v>0</v>
      </c>
      <c r="U225" s="115">
        <f>IF(U194=4,IF(V207=1,1,0),0)</f>
        <v>0</v>
      </c>
      <c r="W225" s="168">
        <f>IF(W194=4,IF(V207=1,1,0),0)</f>
        <v>0</v>
      </c>
      <c r="X225" s="115">
        <f>IF(X194=4,IF(Y207=1,1,0),0)</f>
        <v>0</v>
      </c>
      <c r="Z225" s="168">
        <f>IF(Z194=4,IF(Y207=1,1,0),0)</f>
        <v>0</v>
      </c>
      <c r="AA225" s="115">
        <f>IF(AA194=4,IF(AB207=1,1,0),0)</f>
        <v>0</v>
      </c>
      <c r="AC225" s="168">
        <f>IF(AC194=4,IF(AB207=1,1,0),0)</f>
        <v>0</v>
      </c>
      <c r="AD225" s="115">
        <f>IF(AD194=4,IF(AE207=1,1,0),0)</f>
        <v>0</v>
      </c>
      <c r="AF225" s="168">
        <f>IF(AF194=4,IF(AE207=1,1,0),0)</f>
        <v>0</v>
      </c>
      <c r="AG225" s="115">
        <f>SUM(B225:AF225)</f>
        <v>0</v>
      </c>
      <c r="AW225" s="166"/>
    </row>
    <row r="226" spans="1:49" s="115" customFormat="1" ht="12.75" hidden="1" customHeight="1">
      <c r="A226" s="115" t="s">
        <v>47</v>
      </c>
      <c r="B226" s="115">
        <f>IF(B194=5,IF(C207=1,1,0),0)</f>
        <v>0</v>
      </c>
      <c r="D226" s="168">
        <f>IF(D194=5,IF(C207=1,1,0),0)</f>
        <v>0</v>
      </c>
      <c r="E226" s="115">
        <f>IF(E194=5,IF(F207=1,1,0),0)</f>
        <v>0</v>
      </c>
      <c r="G226" s="168">
        <f>IF(G194=5,IF(F207=1,1,0),0)</f>
        <v>0</v>
      </c>
      <c r="H226" s="115">
        <f>IF(H194=5,IF(I207=1,1,0),0)</f>
        <v>0</v>
      </c>
      <c r="J226" s="168">
        <f>IF(J194=5,IF(I207=1,1,0),0)</f>
        <v>0</v>
      </c>
      <c r="K226" s="168"/>
      <c r="L226" s="115">
        <f>IF(L194=5,IF(M207=1,1,0),0)</f>
        <v>0</v>
      </c>
      <c r="N226" s="168">
        <f>IF(N194=5,IF(M207=1,1,0),0)</f>
        <v>0</v>
      </c>
      <c r="O226" s="115">
        <f>IF(O194=5,IF(P207=1,1,0),0)</f>
        <v>0</v>
      </c>
      <c r="Q226" s="168">
        <f>IF(Q194=5,IF(P207=1,1,0),0)</f>
        <v>0</v>
      </c>
      <c r="R226" s="115">
        <f>IF(R194=5,IF(S207=1,1,0),0)</f>
        <v>0</v>
      </c>
      <c r="T226" s="168">
        <f>IF(T194=5,IF(S207=1,1,0),0)</f>
        <v>0</v>
      </c>
      <c r="U226" s="115">
        <f>IF(U194=5,IF(V207=1,1,0),0)</f>
        <v>0</v>
      </c>
      <c r="W226" s="168">
        <f>IF(W194=5,IF(V207=1,1,0),0)</f>
        <v>0</v>
      </c>
      <c r="X226" s="115">
        <f>IF(X194=5,IF(Y207=1,1,0),0)</f>
        <v>0</v>
      </c>
      <c r="Z226" s="168">
        <f>IF(Z194=5,IF(Y207=1,1,0),0)</f>
        <v>0</v>
      </c>
      <c r="AA226" s="115">
        <f>IF(AA194=5,IF(AB207=1,1,0),0)</f>
        <v>0</v>
      </c>
      <c r="AC226" s="168">
        <f>IF(AC194=5,IF(AB207=1,1,0),0)</f>
        <v>0</v>
      </c>
      <c r="AD226" s="115">
        <f>IF(AD194=5,IF(AE207=1,1,0),0)</f>
        <v>0</v>
      </c>
      <c r="AF226" s="168">
        <f>IF(AF194=5,IF(AE207=1,1,0),0)</f>
        <v>0</v>
      </c>
      <c r="AG226" s="115">
        <f>SUM(B226:AF226)</f>
        <v>0</v>
      </c>
      <c r="AW226" s="166"/>
    </row>
    <row r="227" spans="1:49" s="115" customFormat="1" ht="38.25" hidden="1" customHeight="1">
      <c r="A227" s="167"/>
      <c r="D227" s="168"/>
      <c r="G227" s="168"/>
      <c r="J227" s="168"/>
      <c r="K227" s="168"/>
      <c r="N227" s="168"/>
      <c r="Q227" s="168"/>
      <c r="T227" s="168"/>
      <c r="W227" s="168"/>
      <c r="Z227" s="168"/>
      <c r="AC227" s="168"/>
      <c r="AF227" s="168"/>
      <c r="AG227" s="167" t="s">
        <v>218</v>
      </c>
      <c r="AH227" s="392"/>
      <c r="AI227" s="392"/>
      <c r="AJ227" s="392"/>
      <c r="AK227" s="392"/>
      <c r="AL227" s="392"/>
      <c r="AW227" s="166"/>
    </row>
    <row r="228" spans="1:49" s="115" customFormat="1" ht="12.75" hidden="1" customHeight="1">
      <c r="A228" s="115" t="s">
        <v>43</v>
      </c>
      <c r="B228" s="115">
        <f>IF(B194=1,B214,0)</f>
        <v>19</v>
      </c>
      <c r="D228" s="168">
        <f>IF(D194=1,B214,0)</f>
        <v>0</v>
      </c>
      <c r="E228" s="115">
        <f>IF(E194=1,E214,0)</f>
        <v>0</v>
      </c>
      <c r="G228" s="168">
        <f>IF(G194=1,E214,0)</f>
        <v>0</v>
      </c>
      <c r="H228" s="115">
        <f>IF(H194=1,H214,0)</f>
        <v>19</v>
      </c>
      <c r="J228" s="168">
        <f>IF(J194=1,H214,0)</f>
        <v>0</v>
      </c>
      <c r="K228" s="168"/>
      <c r="L228" s="115">
        <f>IF(L194=1,L214,0)</f>
        <v>20</v>
      </c>
      <c r="N228" s="168">
        <f>IF(N194=1,L214,0)</f>
        <v>0</v>
      </c>
      <c r="O228" s="115">
        <f>IF(O194=1,O214,0)</f>
        <v>0</v>
      </c>
      <c r="Q228" s="168">
        <f>IF(Q194=1,O214,0)</f>
        <v>0</v>
      </c>
      <c r="R228" s="115">
        <f>IF(R194=1,R214,0)</f>
        <v>19</v>
      </c>
      <c r="T228" s="168">
        <f>IF(T194=1,R214,0)</f>
        <v>0</v>
      </c>
      <c r="U228" s="115">
        <f>IF(U194=1,U214,0)</f>
        <v>0</v>
      </c>
      <c r="W228" s="168">
        <f>IF(W194=1,U214,0)</f>
        <v>0</v>
      </c>
      <c r="X228" s="115">
        <f>IF(X194=1,X214,0)</f>
        <v>0</v>
      </c>
      <c r="Z228" s="168">
        <f>IF(Z194=1,X214,0)</f>
        <v>0</v>
      </c>
      <c r="AA228" s="115">
        <f>IF(AA194=1,AA214,0)</f>
        <v>0</v>
      </c>
      <c r="AC228" s="168">
        <f>IF(AC194=1,AA214,0)</f>
        <v>0</v>
      </c>
      <c r="AD228" s="115">
        <f>IF(AD194=1,AD214,0)</f>
        <v>0</v>
      </c>
      <c r="AF228" s="168">
        <f>IF(AF194=1,AD214,0)</f>
        <v>0</v>
      </c>
      <c r="AG228" s="115">
        <f>SUM(B228:AF228)</f>
        <v>77</v>
      </c>
      <c r="AW228" s="166"/>
    </row>
    <row r="229" spans="1:49" s="115" customFormat="1" ht="12.75" hidden="1" customHeight="1">
      <c r="A229" s="115" t="s">
        <v>44</v>
      </c>
      <c r="B229" s="115">
        <f>IF(B194=2,B214,0)</f>
        <v>0</v>
      </c>
      <c r="D229" s="168">
        <f>IF(D194=2,B214,0)</f>
        <v>19</v>
      </c>
      <c r="E229" s="115">
        <f>IF(E194=2,E214,0)</f>
        <v>22</v>
      </c>
      <c r="G229" s="168">
        <f>IF(G194=2,E214,0)</f>
        <v>0</v>
      </c>
      <c r="H229" s="115">
        <f>IF(H194=2,H214,0)</f>
        <v>0</v>
      </c>
      <c r="J229" s="168">
        <f>IF(J194=2,H214,0)</f>
        <v>0</v>
      </c>
      <c r="K229" s="168"/>
      <c r="L229" s="115">
        <f>IF(L194=2,L214,0)</f>
        <v>0</v>
      </c>
      <c r="N229" s="168">
        <f>IF(N194=2,L214,0)</f>
        <v>20</v>
      </c>
      <c r="O229" s="115">
        <f>IF(O194=2,O214,0)</f>
        <v>24</v>
      </c>
      <c r="Q229" s="168">
        <f>IF(Q194=2,O214,0)</f>
        <v>0</v>
      </c>
      <c r="R229" s="115">
        <f>IF(R194=2,R214,0)</f>
        <v>0</v>
      </c>
      <c r="T229" s="168">
        <f>IF(T194=2,R214,0)</f>
        <v>0</v>
      </c>
      <c r="U229" s="115">
        <f>IF(U194=2,U214,0)</f>
        <v>0</v>
      </c>
      <c r="W229" s="168">
        <f>IF(W194=2,U214,0)</f>
        <v>0</v>
      </c>
      <c r="X229" s="115">
        <f>IF(X194=2,X214,0)</f>
        <v>0</v>
      </c>
      <c r="Z229" s="168">
        <f>IF(Z194=2,X214,0)</f>
        <v>0</v>
      </c>
      <c r="AA229" s="115">
        <f>IF(AA194=2,AA214,0)</f>
        <v>0</v>
      </c>
      <c r="AC229" s="168">
        <f>IF(AC194=2,AA214,0)</f>
        <v>0</v>
      </c>
      <c r="AD229" s="115">
        <f>IF(AD194=2,AD214,0)</f>
        <v>0</v>
      </c>
      <c r="AF229" s="168">
        <f>IF(AF194=2,AD214,0)</f>
        <v>0</v>
      </c>
      <c r="AG229" s="115">
        <f>SUM(B229:AF229)</f>
        <v>85</v>
      </c>
      <c r="AW229" s="166"/>
    </row>
    <row r="230" spans="1:49" s="115" customFormat="1" ht="12.75" hidden="1" customHeight="1">
      <c r="A230" s="115" t="s">
        <v>45</v>
      </c>
      <c r="B230" s="115">
        <f>IF(B194=3,B214,0)</f>
        <v>0</v>
      </c>
      <c r="D230" s="168">
        <f>IF(D194=3,B214,0)</f>
        <v>0</v>
      </c>
      <c r="E230" s="115">
        <f>IF(E194=3,E214,0)</f>
        <v>0</v>
      </c>
      <c r="G230" s="168">
        <f>IF(G194=3,E214,0)</f>
        <v>22</v>
      </c>
      <c r="H230" s="115">
        <f>IF(H194=3,H214,0)</f>
        <v>0</v>
      </c>
      <c r="J230" s="168">
        <f>IF(J194=3,H214,0)</f>
        <v>19</v>
      </c>
      <c r="K230" s="168"/>
      <c r="L230" s="115">
        <f>IF(L194=3,L214,0)</f>
        <v>0</v>
      </c>
      <c r="N230" s="168">
        <f>IF(N194=3,L214,0)</f>
        <v>0</v>
      </c>
      <c r="O230" s="115">
        <f>IF(O194=3,O214,0)</f>
        <v>0</v>
      </c>
      <c r="Q230" s="168">
        <f>IF(Q194=3,O214,0)</f>
        <v>24</v>
      </c>
      <c r="R230" s="115">
        <f>IF(R194=3,R214,0)</f>
        <v>0</v>
      </c>
      <c r="T230" s="168">
        <f>IF(T194=3,R214,0)</f>
        <v>19</v>
      </c>
      <c r="U230" s="115">
        <f>IF(U194=3,U214,0)</f>
        <v>0</v>
      </c>
      <c r="W230" s="168">
        <f>IF(W194=3,U214,0)</f>
        <v>0</v>
      </c>
      <c r="X230" s="115">
        <f>IF(X194=3,X214,0)</f>
        <v>0</v>
      </c>
      <c r="Z230" s="168">
        <f>IF(Z194=3,X214,0)</f>
        <v>0</v>
      </c>
      <c r="AA230" s="115">
        <f>IF(AA194=3,AA214,0)</f>
        <v>0</v>
      </c>
      <c r="AC230" s="168">
        <f>IF(AC194=3,AA214,0)</f>
        <v>0</v>
      </c>
      <c r="AD230" s="115">
        <f>IF(AD194=3,AD214,0)</f>
        <v>0</v>
      </c>
      <c r="AF230" s="168">
        <f>IF(AF194=3,AD214,0)</f>
        <v>0</v>
      </c>
      <c r="AG230" s="115">
        <f>SUM(B230:AF230)</f>
        <v>84</v>
      </c>
      <c r="AW230" s="166"/>
    </row>
    <row r="231" spans="1:49" s="115" customFormat="1" ht="12.75" hidden="1" customHeight="1">
      <c r="A231" s="115" t="s">
        <v>46</v>
      </c>
      <c r="B231" s="115">
        <f>IF(B194=4,B214,0)</f>
        <v>0</v>
      </c>
      <c r="D231" s="168">
        <f>IF(D194=4,B214,0)</f>
        <v>0</v>
      </c>
      <c r="E231" s="115">
        <f>IF(E194=4,E214,0)</f>
        <v>0</v>
      </c>
      <c r="G231" s="168">
        <f>IF(G194=4,E214,0)</f>
        <v>0</v>
      </c>
      <c r="H231" s="115">
        <f>IF(H194=4,H214,0)</f>
        <v>0</v>
      </c>
      <c r="J231" s="168">
        <f>IF(J194=4,H214,0)</f>
        <v>0</v>
      </c>
      <c r="K231" s="168"/>
      <c r="L231" s="115">
        <f>IF(L194=4,L214,0)</f>
        <v>0</v>
      </c>
      <c r="N231" s="168">
        <f>IF(N194=4,L214,0)</f>
        <v>0</v>
      </c>
      <c r="O231" s="115">
        <f>IF(O194=4,O214,0)</f>
        <v>0</v>
      </c>
      <c r="Q231" s="168">
        <f>IF(Q194=4,O214,0)</f>
        <v>0</v>
      </c>
      <c r="R231" s="115">
        <f>IF(R194=4,R214,0)</f>
        <v>0</v>
      </c>
      <c r="T231" s="168">
        <f>IF(T194=4,R214,0)</f>
        <v>0</v>
      </c>
      <c r="U231" s="115">
        <f>IF(U194=4,U214,0)</f>
        <v>0</v>
      </c>
      <c r="W231" s="168">
        <f>IF(W194=4,U214,0)</f>
        <v>0</v>
      </c>
      <c r="X231" s="115">
        <f>IF(X194=4,X214,0)</f>
        <v>0</v>
      </c>
      <c r="Z231" s="168">
        <f>IF(Z194=4,X214,0)</f>
        <v>0</v>
      </c>
      <c r="AA231" s="115">
        <f>IF(AA194=4,AA214,0)</f>
        <v>0</v>
      </c>
      <c r="AC231" s="168">
        <f>IF(AC194=4,AA214,0)</f>
        <v>0</v>
      </c>
      <c r="AD231" s="115">
        <f>IF(AD194=4,AD214,0)</f>
        <v>0</v>
      </c>
      <c r="AF231" s="168">
        <f>IF(AF194=4,AD214,0)</f>
        <v>0</v>
      </c>
      <c r="AG231" s="115">
        <f>SUM(B231:AF231)</f>
        <v>0</v>
      </c>
      <c r="AW231" s="166"/>
    </row>
    <row r="232" spans="1:49" s="115" customFormat="1" ht="12.75" hidden="1" customHeight="1">
      <c r="A232" s="115" t="s">
        <v>47</v>
      </c>
      <c r="B232" s="115">
        <f>IF(B194=5,B214,0)</f>
        <v>0</v>
      </c>
      <c r="D232" s="168">
        <f>IF(D194=5,B214,0)</f>
        <v>0</v>
      </c>
      <c r="E232" s="115">
        <f>IF(E194=5,E214,0)</f>
        <v>0</v>
      </c>
      <c r="G232" s="168">
        <f>IF(G194=5,E214,0)</f>
        <v>0</v>
      </c>
      <c r="H232" s="115">
        <f>IF(H194=5,H214,0)</f>
        <v>0</v>
      </c>
      <c r="J232" s="168">
        <f>IF(J194=5,H214,0)</f>
        <v>0</v>
      </c>
      <c r="K232" s="168"/>
      <c r="L232" s="115">
        <f>IF(L194=5,L214,0)</f>
        <v>0</v>
      </c>
      <c r="N232" s="168">
        <f>IF(N194=5,L214,0)</f>
        <v>0</v>
      </c>
      <c r="O232" s="115">
        <f>IF(O194=5,O214,0)</f>
        <v>0</v>
      </c>
      <c r="Q232" s="168">
        <f>IF(Q194=5,O214,0)</f>
        <v>0</v>
      </c>
      <c r="R232" s="115">
        <f>IF(R194=5,R214,0)</f>
        <v>0</v>
      </c>
      <c r="T232" s="168">
        <f>IF(T194=5,R214,0)</f>
        <v>0</v>
      </c>
      <c r="U232" s="115">
        <f>IF(U194=5,U214,0)</f>
        <v>0</v>
      </c>
      <c r="W232" s="168">
        <f>IF(W194=5,U214,0)</f>
        <v>0</v>
      </c>
      <c r="X232" s="115">
        <f>IF(X194=5,X214,0)</f>
        <v>0</v>
      </c>
      <c r="Z232" s="168">
        <f>IF(Z194=5,X214,0)</f>
        <v>0</v>
      </c>
      <c r="AA232" s="115">
        <f>IF(AA194=5,AA214,0)</f>
        <v>0</v>
      </c>
      <c r="AC232" s="168">
        <f>IF(AC194=5,AA214,0)</f>
        <v>0</v>
      </c>
      <c r="AD232" s="115">
        <f>IF(AD194=5,AD214,0)</f>
        <v>0</v>
      </c>
      <c r="AF232" s="168">
        <f>IF(AF194=5,AD214,0)</f>
        <v>0</v>
      </c>
      <c r="AG232" s="115">
        <f>SUM(B232:AF232)</f>
        <v>0</v>
      </c>
      <c r="AW232" s="166"/>
    </row>
    <row r="233" spans="1:49" s="115" customFormat="1" ht="38.25" hidden="1" customHeight="1">
      <c r="A233" s="115" t="s">
        <v>48</v>
      </c>
      <c r="D233" s="168"/>
      <c r="G233" s="168"/>
      <c r="J233" s="168"/>
      <c r="K233" s="168"/>
      <c r="N233" s="168"/>
      <c r="Q233" s="168"/>
      <c r="T233" s="168"/>
      <c r="W233" s="168"/>
      <c r="Z233" s="168"/>
      <c r="AC233" s="168"/>
      <c r="AF233" s="168"/>
      <c r="AG233" s="167" t="s">
        <v>219</v>
      </c>
      <c r="AH233" s="115" t="s">
        <v>220</v>
      </c>
      <c r="AW233" s="166"/>
    </row>
    <row r="234" spans="1:49" s="115" customFormat="1" ht="12.75" hidden="1" customHeight="1">
      <c r="A234" s="115" t="s">
        <v>38</v>
      </c>
      <c r="B234" s="115">
        <f>IF(B194=1,SUMIF(B201:B205,"&gt;0"),0)</f>
        <v>1</v>
      </c>
      <c r="D234" s="168">
        <f>IF(D194=1,SUMIF(D201:D205,"&gt;0"),0)</f>
        <v>0</v>
      </c>
      <c r="E234" s="115">
        <f>IF(E194=1,SUMIF(E201:E205,"&gt;0"),0)</f>
        <v>0</v>
      </c>
      <c r="G234" s="168">
        <f>IF(G194=1,SUMIF(G201:G205,"&gt;0"),0)</f>
        <v>0</v>
      </c>
      <c r="H234" s="115">
        <f>IF(H194=1,SUMIF(H201:H205,"&gt;0"),0)</f>
        <v>0</v>
      </c>
      <c r="J234" s="168">
        <f>IF(J194=1,SUMIF(J201:J205,"&gt;0"),0)</f>
        <v>0</v>
      </c>
      <c r="K234" s="168"/>
      <c r="L234" s="115">
        <f>IF(L194=1,SUMIF(L201:L205,"&gt;0"),0)</f>
        <v>0</v>
      </c>
      <c r="N234" s="168">
        <f>IF(N194=1,SUMIF(N201:N205,"&gt;0"),0)</f>
        <v>0</v>
      </c>
      <c r="O234" s="115">
        <f>IF(O194=1,SUMIF(O201:O205,"&gt;0"),0)</f>
        <v>0</v>
      </c>
      <c r="Q234" s="168">
        <f>IF(Q194=1,SUMIF(Q201:Q205,"&gt;0"),0)</f>
        <v>0</v>
      </c>
      <c r="R234" s="115">
        <f>IF(R194=1,SUMIF(R201:R205,"&gt;0"),0)</f>
        <v>0</v>
      </c>
      <c r="T234" s="168">
        <f>IF(T194=1,SUMIF(T201:T205,"&gt;0"),0)</f>
        <v>0</v>
      </c>
      <c r="U234" s="115">
        <f>IF(U194=1,SUMIF(U201:U205,"&gt;0"),0)</f>
        <v>0</v>
      </c>
      <c r="W234" s="168">
        <f>IF(W194=1,SUMIF(W201:W205,"&gt;0"),0)</f>
        <v>0</v>
      </c>
      <c r="X234" s="115">
        <f>IF(X194=1,SUMIF(X201:X205,"&gt;0"),0)</f>
        <v>0</v>
      </c>
      <c r="Z234" s="168">
        <f>IF(Z194=1,SUMIF(Z201:Z205,"&gt;0"),0)</f>
        <v>0</v>
      </c>
      <c r="AA234" s="115">
        <f>IF(AA194=1,SUMIF(AA201:AA205,"&gt;0"),0)</f>
        <v>0</v>
      </c>
      <c r="AC234" s="168">
        <f>IF(AC194=1,SUMIF(AC201:AC205,"&gt;0"),0)</f>
        <v>0</v>
      </c>
      <c r="AD234" s="115">
        <f>IF(AD194=1,SUMIF(AD201:AD205,"&gt;0"),0)</f>
        <v>0</v>
      </c>
      <c r="AF234" s="168">
        <f>IF(AF194=1,SUMIF(AF201:AF205,"&gt;0"),0)</f>
        <v>0</v>
      </c>
      <c r="AG234" s="115">
        <f>SUM(B234:AF234)</f>
        <v>1</v>
      </c>
      <c r="AH234" s="115">
        <f>AG242-AG234</f>
        <v>3</v>
      </c>
      <c r="AW234" s="166"/>
    </row>
    <row r="235" spans="1:49" s="115" customFormat="1" ht="12.75" hidden="1" customHeight="1">
      <c r="A235" s="115" t="s">
        <v>39</v>
      </c>
      <c r="B235" s="115">
        <f>IF(B194=2,SUMIF(B201:B205,"&gt;0"),0)</f>
        <v>0</v>
      </c>
      <c r="D235" s="168">
        <f>IF(D194=2,SUMIF(D201:D205,"&gt;0"),0)</f>
        <v>0</v>
      </c>
      <c r="E235" s="115">
        <f>IF(E194=2,SUMIF(E201:E205,"&gt;0"),0)</f>
        <v>0</v>
      </c>
      <c r="G235" s="168">
        <f>IF(G194=2,SUMIF(G201:G205,"&gt;0"),0)</f>
        <v>0</v>
      </c>
      <c r="H235" s="115">
        <f>IF(H194=2,SUMIF(H201:H205,"&gt;0"),0)</f>
        <v>0</v>
      </c>
      <c r="J235" s="168">
        <f>IF(J194=2,SUMIF(J201:J205,"&gt;0"),0)</f>
        <v>0</v>
      </c>
      <c r="K235" s="168"/>
      <c r="L235" s="115">
        <f>IF(L194=2,SUMIF(L201:L205,"&gt;0"),0)</f>
        <v>0</v>
      </c>
      <c r="N235" s="168">
        <f>IF(N194=2,SUMIF(N201:N205,"&gt;0"),0)</f>
        <v>1</v>
      </c>
      <c r="O235" s="115">
        <f>IF(O194=2,SUMIF(O201:O205,"&gt;0"),0)</f>
        <v>0</v>
      </c>
      <c r="Q235" s="168">
        <f>IF(Q194=2,SUMIF(Q201:Q205,"&gt;0"),0)</f>
        <v>0</v>
      </c>
      <c r="R235" s="115">
        <f>IF(R194=2,SUMIF(R201:R205,"&gt;0"),0)</f>
        <v>0</v>
      </c>
      <c r="T235" s="168">
        <f>IF(T194=2,SUMIF(T201:T205,"&gt;0"),0)</f>
        <v>0</v>
      </c>
      <c r="U235" s="115">
        <f>IF(U194=2,SUMIF(U201:U205,"&gt;0"),0)</f>
        <v>0</v>
      </c>
      <c r="W235" s="168">
        <f>IF(W194=2,SUMIF(W201:W205,"&gt;0"),0)</f>
        <v>0</v>
      </c>
      <c r="X235" s="115">
        <f>IF(X194=2,SUMIF(X201:X205,"&gt;0"),0)</f>
        <v>0</v>
      </c>
      <c r="Z235" s="168">
        <f>IF(Z194=2,SUMIF(Z201:Z205,"&gt;0"),0)</f>
        <v>0</v>
      </c>
      <c r="AA235" s="115">
        <f>IF(AA194=2,SUMIF(AA201:AA205,"&gt;0"),0)</f>
        <v>0</v>
      </c>
      <c r="AC235" s="168">
        <f>IF(AC194=2,SUMIF(AC201:AC205,"&gt;0"),0)</f>
        <v>0</v>
      </c>
      <c r="AD235" s="115">
        <f>IF(AD194=2,SUMIF(AD201:AD205,"&gt;0"),0)</f>
        <v>0</v>
      </c>
      <c r="AF235" s="168">
        <f>IF(AF194=2,SUMIF(AF201:AF205,"&gt;0"),0)</f>
        <v>0</v>
      </c>
      <c r="AG235" s="115">
        <f>SUM(B235:AF235)</f>
        <v>1</v>
      </c>
      <c r="AH235" s="115">
        <f>AG243-AG235</f>
        <v>3</v>
      </c>
      <c r="AW235" s="166"/>
    </row>
    <row r="236" spans="1:49" s="115" customFormat="1" ht="12.75" hidden="1" customHeight="1">
      <c r="A236" s="115" t="s">
        <v>40</v>
      </c>
      <c r="B236" s="115">
        <f>IF(B194=3,SUMIF(B201:B205,"&gt;0"),0)</f>
        <v>0</v>
      </c>
      <c r="D236" s="168">
        <f>IF(D194=3,SUMIF(D201:D205,"&gt;0"),0)</f>
        <v>0</v>
      </c>
      <c r="E236" s="115">
        <f>IF(E194=3,SUMIF(E201:E205,"&gt;0"),0)</f>
        <v>0</v>
      </c>
      <c r="G236" s="168">
        <f>IF(G194=3,SUMIF(G201:G205,"&gt;0"),0)</f>
        <v>1</v>
      </c>
      <c r="H236" s="115">
        <f>IF(H194=3,SUMIF(H201:H205,"&gt;0"),0)</f>
        <v>0</v>
      </c>
      <c r="J236" s="168">
        <f>IF(J194=3,SUMIF(J201:J205,"&gt;0"),0)</f>
        <v>1</v>
      </c>
      <c r="K236" s="168"/>
      <c r="L236" s="115">
        <f>IF(L194=3,SUMIF(L201:L205,"&gt;0"),0)</f>
        <v>0</v>
      </c>
      <c r="N236" s="168">
        <f>IF(N194=3,SUMIF(N201:N205,"&gt;0"),0)</f>
        <v>0</v>
      </c>
      <c r="O236" s="115">
        <f>IF(O194=3,SUMIF(O201:O205,"&gt;0"),0)</f>
        <v>0</v>
      </c>
      <c r="Q236" s="168">
        <f>IF(Q194=3,SUMIF(Q201:Q205,"&gt;0"),0)</f>
        <v>1</v>
      </c>
      <c r="R236" s="115">
        <f>IF(R194=3,SUMIF(R201:R205,"&gt;0"),0)</f>
        <v>0</v>
      </c>
      <c r="T236" s="168">
        <f>IF(T194=3,SUMIF(T201:T205,"&gt;0"),0)</f>
        <v>1</v>
      </c>
      <c r="U236" s="115">
        <f>IF(U194=3,SUMIF(U201:U205,"&gt;0"),0)</f>
        <v>0</v>
      </c>
      <c r="W236" s="168">
        <f>IF(W194=3,SUMIF(W201:W205,"&gt;0"),0)</f>
        <v>0</v>
      </c>
      <c r="X236" s="115">
        <f>IF(X194=3,SUMIF(X201:X205,"&gt;0"),0)</f>
        <v>0</v>
      </c>
      <c r="Z236" s="168">
        <f>IF(Z194=3,SUMIF(Z201:Z205,"&gt;0"),0)</f>
        <v>0</v>
      </c>
      <c r="AA236" s="115">
        <f>IF(AA194=3,SUMIF(AA201:AA205,"&gt;0"),0)</f>
        <v>0</v>
      </c>
      <c r="AC236" s="168">
        <f>IF(AC194=3,SUMIF(AC201:AC205,"&gt;0"),0)</f>
        <v>0</v>
      </c>
      <c r="AD236" s="115">
        <f>IF(AD194=3,SUMIF(AD201:AD205,"&gt;0"),0)</f>
        <v>0</v>
      </c>
      <c r="AF236" s="168">
        <f>IF(AF194=3,SUMIF(AF201:AF205,"&gt;0"),0)</f>
        <v>0</v>
      </c>
      <c r="AG236" s="115">
        <f>SUM(B236:AF236)</f>
        <v>4</v>
      </c>
      <c r="AH236" s="115">
        <f>AG244-AG236</f>
        <v>0</v>
      </c>
      <c r="AW236" s="166"/>
    </row>
    <row r="237" spans="1:49" s="115" customFormat="1" ht="12.75" hidden="1" customHeight="1">
      <c r="A237" s="115" t="s">
        <v>41</v>
      </c>
      <c r="B237" s="115">
        <f>IF(B194=4,SUMIF(B201:B205,"&gt;0"),0)</f>
        <v>0</v>
      </c>
      <c r="D237" s="168">
        <f>IF(D194=4,SUMIF(D201:D205,"&gt;0"),0)</f>
        <v>0</v>
      </c>
      <c r="E237" s="115">
        <f>IF(E194=4,SUMIF(E201:E205,"&gt;0"),0)</f>
        <v>0</v>
      </c>
      <c r="G237" s="168">
        <f>IF(G194=4,SUMIF(G201:G205,"&gt;0"),0)</f>
        <v>0</v>
      </c>
      <c r="H237" s="115">
        <f>IF(H194=4,SUMIF(H201:H205,"&gt;0"),0)</f>
        <v>0</v>
      </c>
      <c r="J237" s="168">
        <f>IF(J194=4,SUMIF(J201:J205,"&gt;0"),0)</f>
        <v>0</v>
      </c>
      <c r="K237" s="168"/>
      <c r="L237" s="115">
        <f>IF(L194=4,SUMIF(L201:L205,"&gt;0"),0)</f>
        <v>0</v>
      </c>
      <c r="N237" s="168">
        <f>IF(N194=4,SUMIF(N201:N205,"&gt;0"),0)</f>
        <v>0</v>
      </c>
      <c r="O237" s="115">
        <f>IF(O194=4,SUMIF(O201:O205,"&gt;0"),0)</f>
        <v>0</v>
      </c>
      <c r="Q237" s="168">
        <f>IF(Q194=4,SUMIF(Q201:Q205,"&gt;0"),0)</f>
        <v>0</v>
      </c>
      <c r="R237" s="115">
        <f>IF(R194=4,SUMIF(R201:R205,"&gt;0"),0)</f>
        <v>0</v>
      </c>
      <c r="T237" s="168">
        <f>IF(T194=4,SUMIF(T201:T205,"&gt;0"),0)</f>
        <v>0</v>
      </c>
      <c r="U237" s="115">
        <f>IF(U194=4,SUMIF(U201:U205,"&gt;0"),0)</f>
        <v>0</v>
      </c>
      <c r="W237" s="168">
        <f>IF(W194=4,SUMIF(W201:W205,"&gt;0"),0)</f>
        <v>0</v>
      </c>
      <c r="X237" s="115">
        <f>IF(X194=4,SUMIF(X201:X205,"&gt;0"),0)</f>
        <v>0</v>
      </c>
      <c r="Z237" s="168">
        <f>IF(Z194=4,SUMIF(Z201:Z205,"&gt;0"),0)</f>
        <v>0</v>
      </c>
      <c r="AA237" s="115">
        <f>IF(AA194=4,SUMIF(AA201:AA205,"&gt;0"),0)</f>
        <v>0</v>
      </c>
      <c r="AC237" s="168">
        <f>IF(AC194=4,SUMIF(AC201:AC205,"&gt;0"),0)</f>
        <v>0</v>
      </c>
      <c r="AD237" s="115">
        <f>IF(AD194=4,SUMIF(AD201:AD205,"&gt;0"),0)</f>
        <v>0</v>
      </c>
      <c r="AF237" s="168">
        <f>IF(AF194=4,SUMIF(AF201:AF205,"&gt;0"),0)</f>
        <v>0</v>
      </c>
      <c r="AG237" s="115">
        <f>SUM(B237:AF237)</f>
        <v>0</v>
      </c>
      <c r="AH237" s="115">
        <f>AG245-AG237</f>
        <v>0</v>
      </c>
      <c r="AW237" s="166"/>
    </row>
    <row r="238" spans="1:49" s="115" customFormat="1" ht="12.75" hidden="1" customHeight="1">
      <c r="A238" s="115" t="s">
        <v>42</v>
      </c>
      <c r="B238" s="115">
        <f>IF(B194=5,SUMIF(B201:B205,"&gt;0"),0)</f>
        <v>0</v>
      </c>
      <c r="D238" s="168">
        <f>IF(D194=5,SUMIF(D201:D205,"&gt;0"),0)</f>
        <v>0</v>
      </c>
      <c r="E238" s="115">
        <f>IF(E194=5,SUMIF(E201:E205,"&gt;0"),0)</f>
        <v>0</v>
      </c>
      <c r="G238" s="168">
        <f>IF(G194=5,SUMIF(G201:G205,"&gt;0"),0)</f>
        <v>0</v>
      </c>
      <c r="H238" s="115">
        <f>IF(H194=5,SUMIF(H201:H205,"&gt;0"),0)</f>
        <v>0</v>
      </c>
      <c r="J238" s="168">
        <f>IF(J194=5,SUMIF(J201:J205,"&gt;0"),0)</f>
        <v>0</v>
      </c>
      <c r="K238" s="168"/>
      <c r="L238" s="115">
        <f>IF(L194=5,SUMIF(L201:L205,"&gt;0"),0)</f>
        <v>0</v>
      </c>
      <c r="N238" s="168">
        <f>IF(N194=5,SUMIF(N201:N205,"&gt;0"),0)</f>
        <v>0</v>
      </c>
      <c r="O238" s="115">
        <f>IF(O194=5,SUMIF(O201:O205,"&gt;0"),0)</f>
        <v>0</v>
      </c>
      <c r="Q238" s="168">
        <f>IF(Q194=5,SUMIF(Q201:Q205,"&gt;0"),0)</f>
        <v>0</v>
      </c>
      <c r="R238" s="115">
        <f>IF(R194=5,SUMIF(R201:R205,"&gt;0"),0)</f>
        <v>0</v>
      </c>
      <c r="T238" s="168">
        <f>IF(T194=5,SUMIF(T201:T205,"&gt;0"),0)</f>
        <v>0</v>
      </c>
      <c r="U238" s="115">
        <f>IF(U194=5,SUMIF(U201:U205,"&gt;0"),0)</f>
        <v>0</v>
      </c>
      <c r="W238" s="168">
        <f>IF(W194=5,SUMIF(W201:W205,"&gt;0"),0)</f>
        <v>0</v>
      </c>
      <c r="X238" s="115">
        <f>IF(X194=5,SUMIF(X201:X205,"&gt;0"),0)</f>
        <v>0</v>
      </c>
      <c r="Z238" s="168">
        <f>IF(Z194=5,SUMIF(Z201:Z205,"&gt;0"),0)</f>
        <v>0</v>
      </c>
      <c r="AA238" s="115">
        <f>IF(AA194=5,SUMIF(AA201:AA205,"&gt;0"),0)</f>
        <v>0</v>
      </c>
      <c r="AC238" s="168">
        <f>IF(AC194=5,SUMIF(AC201:AC205,"&gt;0"),0)</f>
        <v>0</v>
      </c>
      <c r="AD238" s="115">
        <f>IF(AD194=5,SUMIF(AD201:AD205,"&gt;0"),0)</f>
        <v>0</v>
      </c>
      <c r="AF238" s="168">
        <f>IF(AF194=5,SUMIF(AF201:AF205,"&gt;0"),0)</f>
        <v>0</v>
      </c>
      <c r="AG238" s="115">
        <f>SUM(B238:AF238)</f>
        <v>0</v>
      </c>
      <c r="AH238" s="115">
        <f>AG246-AG238</f>
        <v>0</v>
      </c>
      <c r="AW238" s="166"/>
    </row>
    <row r="239" spans="1:49" s="115" customFormat="1" ht="12.75" hidden="1" customHeight="1">
      <c r="D239" s="168"/>
      <c r="G239" s="168"/>
      <c r="J239" s="168"/>
      <c r="K239" s="168"/>
      <c r="N239" s="168"/>
      <c r="Q239" s="168"/>
      <c r="T239" s="168"/>
      <c r="W239" s="168"/>
      <c r="Z239" s="168"/>
      <c r="AC239" s="168"/>
      <c r="AF239" s="168"/>
      <c r="AW239" s="166"/>
    </row>
    <row r="240" spans="1:49" s="115" customFormat="1" ht="12.75" hidden="1" customHeight="1">
      <c r="D240" s="168"/>
      <c r="G240" s="168"/>
      <c r="J240" s="168"/>
      <c r="K240" s="168"/>
      <c r="N240" s="168"/>
      <c r="Q240" s="168"/>
      <c r="T240" s="168"/>
      <c r="W240" s="168"/>
      <c r="Z240" s="168"/>
      <c r="AC240" s="168"/>
      <c r="AF240" s="168"/>
      <c r="AW240" s="166"/>
    </row>
    <row r="241" spans="1:81" s="115" customFormat="1" ht="51" hidden="1" customHeight="1">
      <c r="A241" s="167" t="s">
        <v>221</v>
      </c>
      <c r="C241" s="115">
        <f>SUMIF(B234:D238,"&gt;0")</f>
        <v>1</v>
      </c>
      <c r="D241" s="168"/>
      <c r="F241" s="115">
        <f>SUMIF(E234:G238,"&gt;0")</f>
        <v>1</v>
      </c>
      <c r="G241" s="168"/>
      <c r="I241" s="115">
        <f>SUMIF(H234:J238,"&gt;0")</f>
        <v>1</v>
      </c>
      <c r="J241" s="168"/>
      <c r="K241" s="168"/>
      <c r="M241" s="115">
        <f>SUMIF(L234:N238,"&gt;0")</f>
        <v>1</v>
      </c>
      <c r="N241" s="168"/>
      <c r="P241" s="115">
        <f>SUMIF(O234:Q238,"&gt;0")</f>
        <v>1</v>
      </c>
      <c r="Q241" s="168"/>
      <c r="S241" s="115">
        <f>SUMIF(R234:T238,"&gt;0")</f>
        <v>1</v>
      </c>
      <c r="T241" s="168"/>
      <c r="V241" s="115">
        <f>SUMIF(U234:W238,"&gt;0")</f>
        <v>0</v>
      </c>
      <c r="W241" s="168"/>
      <c r="Y241" s="115">
        <f>SUMIF(X234:Z238,"&gt;0")</f>
        <v>0</v>
      </c>
      <c r="Z241" s="168"/>
      <c r="AB241" s="115">
        <f>SUMIF(AA234:AC238,"&gt;0")</f>
        <v>0</v>
      </c>
      <c r="AC241" s="168"/>
      <c r="AE241" s="115">
        <f>SUMIF(AD234:AF238,"&gt;0")</f>
        <v>0</v>
      </c>
      <c r="AF241" s="168"/>
      <c r="AG241" s="167" t="s">
        <v>222</v>
      </c>
      <c r="AW241" s="166"/>
    </row>
    <row r="242" spans="1:81" s="115" customFormat="1" ht="12.75" hidden="1" customHeight="1">
      <c r="A242" s="115" t="s">
        <v>43</v>
      </c>
      <c r="B242" s="115">
        <f>IF(B194=1,C241,0)</f>
        <v>1</v>
      </c>
      <c r="D242" s="168">
        <f>IF(D194=1,C241,0)</f>
        <v>0</v>
      </c>
      <c r="E242" s="115">
        <f>IF(E194=1,F241,0)</f>
        <v>0</v>
      </c>
      <c r="G242" s="168">
        <f>IF(G194=1,F241,0)</f>
        <v>0</v>
      </c>
      <c r="H242" s="115">
        <f>IF(H194=1,I241,0)</f>
        <v>1</v>
      </c>
      <c r="J242" s="168">
        <f>IF(J194=1,I241,0)</f>
        <v>0</v>
      </c>
      <c r="K242" s="168"/>
      <c r="L242" s="115">
        <f>IF(L194=1,M241,0)</f>
        <v>1</v>
      </c>
      <c r="N242" s="168">
        <f>IF(N194=1,M241,0)</f>
        <v>0</v>
      </c>
      <c r="O242" s="115">
        <f>IF(O194=1,P241,0)</f>
        <v>0</v>
      </c>
      <c r="Q242" s="168">
        <f>IF(Q194=1,P241,0)</f>
        <v>0</v>
      </c>
      <c r="R242" s="115">
        <f>IF(R194=1,S241,0)</f>
        <v>1</v>
      </c>
      <c r="T242" s="168">
        <f>IF(T194=1,S241,0)</f>
        <v>0</v>
      </c>
      <c r="U242" s="115">
        <f>IF(U194=1,V241,0)</f>
        <v>0</v>
      </c>
      <c r="W242" s="168">
        <f>IF(W194=1,V241,0)</f>
        <v>0</v>
      </c>
      <c r="X242" s="115">
        <f>IF(X194=1,Y241,0)</f>
        <v>0</v>
      </c>
      <c r="Z242" s="168">
        <f>IF(Z194=1,Y241,0)</f>
        <v>0</v>
      </c>
      <c r="AA242" s="115">
        <f>IF(AA194=1,AB241,0)</f>
        <v>0</v>
      </c>
      <c r="AC242" s="168">
        <f>IF(AC194=1,AB241,0)</f>
        <v>0</v>
      </c>
      <c r="AD242" s="115">
        <f>IF(AD194=1,AE241,0)</f>
        <v>0</v>
      </c>
      <c r="AF242" s="168">
        <f>IF(AF194=1,AE241,0)</f>
        <v>0</v>
      </c>
      <c r="AG242" s="115">
        <f>SUM(B242:AF242)</f>
        <v>4</v>
      </c>
      <c r="AW242" s="166"/>
    </row>
    <row r="243" spans="1:81" s="115" customFormat="1" ht="12.75" hidden="1" customHeight="1">
      <c r="A243" s="115" t="s">
        <v>44</v>
      </c>
      <c r="B243" s="115">
        <f>IF(B194=2,C241,0)</f>
        <v>0</v>
      </c>
      <c r="D243" s="168">
        <f>IF(D194=2,C241,0)</f>
        <v>1</v>
      </c>
      <c r="E243" s="115">
        <f>IF(E194=2,F241,0)</f>
        <v>1</v>
      </c>
      <c r="G243" s="168">
        <f>IF(G194=2,F241,0)</f>
        <v>0</v>
      </c>
      <c r="H243" s="115">
        <f>IF(H194=2,I241,0)</f>
        <v>0</v>
      </c>
      <c r="J243" s="168">
        <f>IF(J194=2,I241,0)</f>
        <v>0</v>
      </c>
      <c r="K243" s="168"/>
      <c r="L243" s="115">
        <f>IF(L194=2,M241,0)</f>
        <v>0</v>
      </c>
      <c r="N243" s="168">
        <f>IF(N194=2,M241,0)</f>
        <v>1</v>
      </c>
      <c r="O243" s="115">
        <f>IF(O194=2,P241,0)</f>
        <v>1</v>
      </c>
      <c r="Q243" s="168">
        <f>IF(Q194=2,P241,0)</f>
        <v>0</v>
      </c>
      <c r="R243" s="115">
        <f>IF(R194=2,S241,0)</f>
        <v>0</v>
      </c>
      <c r="T243" s="168">
        <f>IF(T194=2,S241,0)</f>
        <v>0</v>
      </c>
      <c r="U243" s="115">
        <f>IF(U194=2,V241,0)</f>
        <v>0</v>
      </c>
      <c r="W243" s="168">
        <f>IF(W194=2,V241,0)</f>
        <v>0</v>
      </c>
      <c r="X243" s="115">
        <f>IF(X194=2,Y241,0)</f>
        <v>0</v>
      </c>
      <c r="Z243" s="168">
        <f>IF(Z194=2,Y241,0)</f>
        <v>0</v>
      </c>
      <c r="AA243" s="115">
        <f>IF(AA194=2,AB241,0)</f>
        <v>0</v>
      </c>
      <c r="AC243" s="168">
        <f>IF(AC194=2,AB241,0)</f>
        <v>0</v>
      </c>
      <c r="AD243" s="115">
        <f>IF(AD194=2,AE241,0)</f>
        <v>0</v>
      </c>
      <c r="AF243" s="168">
        <f>IF(AF194=2,AE241,0)</f>
        <v>0</v>
      </c>
      <c r="AG243" s="115">
        <f>SUM(B243:AF243)</f>
        <v>4</v>
      </c>
      <c r="AW243" s="166"/>
    </row>
    <row r="244" spans="1:81" s="115" customFormat="1" ht="12.75" hidden="1" customHeight="1">
      <c r="A244" s="115" t="s">
        <v>45</v>
      </c>
      <c r="B244" s="115">
        <f>IF(B194=3,C241,0)</f>
        <v>0</v>
      </c>
      <c r="D244" s="168">
        <f>IF(D194=3,C241,0)</f>
        <v>0</v>
      </c>
      <c r="E244" s="115">
        <f>IF(E194=3,F241,0)</f>
        <v>0</v>
      </c>
      <c r="G244" s="168">
        <f>IF(G194=3,F241,0)</f>
        <v>1</v>
      </c>
      <c r="H244" s="115">
        <f>IF(H194=3,I241,0)</f>
        <v>0</v>
      </c>
      <c r="J244" s="168">
        <f>IF(J194=3,I241,0)</f>
        <v>1</v>
      </c>
      <c r="K244" s="168"/>
      <c r="L244" s="115">
        <f>IF(L194=3,M241,0)</f>
        <v>0</v>
      </c>
      <c r="N244" s="168">
        <f>IF(N194=3,M241,0)</f>
        <v>0</v>
      </c>
      <c r="O244" s="115">
        <f>IF(O194=3,P241,0)</f>
        <v>0</v>
      </c>
      <c r="Q244" s="168">
        <f>IF(Q194=3,P241,0)</f>
        <v>1</v>
      </c>
      <c r="R244" s="115">
        <f>IF(R194=3,S241,0)</f>
        <v>0</v>
      </c>
      <c r="T244" s="168">
        <f>IF(T194=3,S241,0)</f>
        <v>1</v>
      </c>
      <c r="U244" s="115">
        <f>IF(U194=3,V241,0)</f>
        <v>0</v>
      </c>
      <c r="W244" s="168">
        <f>IF(W194=3,V241,0)</f>
        <v>0</v>
      </c>
      <c r="X244" s="115">
        <f>IF(X194=3,Y241,0)</f>
        <v>0</v>
      </c>
      <c r="Z244" s="168">
        <f>IF(Z194=3,Y241,0)</f>
        <v>0</v>
      </c>
      <c r="AA244" s="115">
        <f>IF(AA194=3,AB241,0)</f>
        <v>0</v>
      </c>
      <c r="AC244" s="168">
        <f>IF(AC194=3,AB241,0)</f>
        <v>0</v>
      </c>
      <c r="AD244" s="115">
        <f>IF(AD194=3,AE241,0)</f>
        <v>0</v>
      </c>
      <c r="AF244" s="168">
        <f>IF(AF194=3,AE241,0)</f>
        <v>0</v>
      </c>
      <c r="AG244" s="115">
        <f>SUM(B244:AF244)</f>
        <v>4</v>
      </c>
      <c r="AW244" s="166"/>
    </row>
    <row r="245" spans="1:81" s="115" customFormat="1" ht="12.75" hidden="1" customHeight="1">
      <c r="A245" s="115" t="s">
        <v>46</v>
      </c>
      <c r="B245" s="115">
        <f>IF(B194=4,C241,0)</f>
        <v>0</v>
      </c>
      <c r="D245" s="168">
        <f>IF(D194=4,C241,0)</f>
        <v>0</v>
      </c>
      <c r="E245" s="115">
        <f>IF(E194=4,F241,0)</f>
        <v>0</v>
      </c>
      <c r="G245" s="168">
        <f>IF(G194=4,F241,0)</f>
        <v>0</v>
      </c>
      <c r="H245" s="115">
        <f>IF(H194=4,I241,0)</f>
        <v>0</v>
      </c>
      <c r="J245" s="168">
        <f>IF(J194=4,I241,0)</f>
        <v>0</v>
      </c>
      <c r="K245" s="168"/>
      <c r="L245" s="115">
        <f>IF(L194=4,M241,0)</f>
        <v>0</v>
      </c>
      <c r="N245" s="168">
        <f>IF(N194=4,M241,0)</f>
        <v>0</v>
      </c>
      <c r="O245" s="115">
        <f>IF(O194=4,P241,0)</f>
        <v>0</v>
      </c>
      <c r="Q245" s="168">
        <f>IF(Q194=4,P241,0)</f>
        <v>0</v>
      </c>
      <c r="R245" s="115">
        <f>IF(R194=4,S241,0)</f>
        <v>0</v>
      </c>
      <c r="T245" s="168">
        <f>IF(T194=4,S241,0)</f>
        <v>0</v>
      </c>
      <c r="U245" s="115">
        <f>IF(U194=4,V241,0)</f>
        <v>0</v>
      </c>
      <c r="W245" s="168">
        <f>IF(W194=4,V241,0)</f>
        <v>0</v>
      </c>
      <c r="X245" s="115">
        <f>IF(X194=4,Y241,0)</f>
        <v>0</v>
      </c>
      <c r="Z245" s="168">
        <f>IF(Z194=4,Y241,0)</f>
        <v>0</v>
      </c>
      <c r="AA245" s="115">
        <f>IF(AA194=4,AB241,0)</f>
        <v>0</v>
      </c>
      <c r="AC245" s="168">
        <f>IF(AC194=4,AB241,0)</f>
        <v>0</v>
      </c>
      <c r="AD245" s="115">
        <f>IF(AD194=4,AE241,0)</f>
        <v>0</v>
      </c>
      <c r="AF245" s="168">
        <f>IF(AF194=4,AE241,0)</f>
        <v>0</v>
      </c>
      <c r="AG245" s="115">
        <f>SUM(B245:AF245)</f>
        <v>0</v>
      </c>
      <c r="AW245" s="166"/>
    </row>
    <row r="246" spans="1:81" s="115" customFormat="1" ht="12.75" hidden="1" customHeight="1">
      <c r="A246" s="115" t="s">
        <v>47</v>
      </c>
      <c r="B246" s="115">
        <f>IF(B194=5,C241,0)</f>
        <v>0</v>
      </c>
      <c r="D246" s="168">
        <f>IF(D194=5,C241,0)</f>
        <v>0</v>
      </c>
      <c r="E246" s="115">
        <f>IF(E194=5,F241,0)</f>
        <v>0</v>
      </c>
      <c r="G246" s="168">
        <f>IF(G194=5,F241,0)</f>
        <v>0</v>
      </c>
      <c r="H246" s="115">
        <f>IF(H194=5,I241,0)</f>
        <v>0</v>
      </c>
      <c r="J246" s="168">
        <f>IF(J194=5,I241,0)</f>
        <v>0</v>
      </c>
      <c r="K246" s="168"/>
      <c r="L246" s="115">
        <f>IF(L194=5,M241,0)</f>
        <v>0</v>
      </c>
      <c r="N246" s="168">
        <f>IF(N194=5,M241,0)</f>
        <v>0</v>
      </c>
      <c r="O246" s="115">
        <f>IF(O194=5,P241,0)</f>
        <v>0</v>
      </c>
      <c r="Q246" s="168">
        <f>IF(Q194=5,P241,0)</f>
        <v>0</v>
      </c>
      <c r="R246" s="115">
        <f>IF(R194=5,S241,0)</f>
        <v>0</v>
      </c>
      <c r="T246" s="168">
        <f>IF(T194=5,S241,0)</f>
        <v>0</v>
      </c>
      <c r="U246" s="115">
        <f>IF(U194=5,V241,0)</f>
        <v>0</v>
      </c>
      <c r="W246" s="168">
        <f>IF(W194=5,V241,0)</f>
        <v>0</v>
      </c>
      <c r="X246" s="115">
        <f>IF(X194=5,Y241,0)</f>
        <v>0</v>
      </c>
      <c r="Z246" s="168">
        <f>IF(Z194=5,Y241,0)</f>
        <v>0</v>
      </c>
      <c r="AA246" s="115">
        <f>IF(AA194=5,AB241,0)</f>
        <v>0</v>
      </c>
      <c r="AC246" s="168">
        <f>IF(AC194=5,AB241,0)</f>
        <v>0</v>
      </c>
      <c r="AD246" s="115">
        <f>IF(AD194=5,AE241,0)</f>
        <v>0</v>
      </c>
      <c r="AF246" s="168">
        <f>IF(AF194=5,AE241,0)</f>
        <v>0</v>
      </c>
      <c r="AG246" s="115">
        <f>SUM(B246:AF246)</f>
        <v>0</v>
      </c>
      <c r="AW246" s="166"/>
    </row>
    <row r="247" spans="1:81" hidden="1">
      <c r="A247" s="219"/>
      <c r="B247" s="219"/>
      <c r="C247" s="219"/>
      <c r="D247" s="219"/>
      <c r="E247" s="219"/>
      <c r="F247" s="219"/>
      <c r="G247" s="219"/>
      <c r="H247" s="219"/>
      <c r="I247" s="219"/>
      <c r="J247" s="219"/>
      <c r="K247" s="219"/>
      <c r="L247" s="219"/>
      <c r="M247" s="219"/>
      <c r="N247" s="219"/>
      <c r="O247" s="219"/>
      <c r="P247" s="219"/>
      <c r="Q247" s="219"/>
      <c r="R247" s="219"/>
      <c r="S247" s="219"/>
      <c r="T247" s="219"/>
      <c r="U247" s="219"/>
      <c r="V247" s="219"/>
      <c r="W247" s="219"/>
      <c r="X247" s="219"/>
      <c r="Y247" s="219"/>
      <c r="Z247" s="219"/>
      <c r="AA247" s="219"/>
      <c r="AB247" s="219"/>
      <c r="AC247" s="219"/>
      <c r="AD247" s="219"/>
      <c r="AE247" s="219"/>
      <c r="AF247" s="219"/>
      <c r="AG247" s="219"/>
      <c r="AH247" s="219"/>
      <c r="AI247" s="219"/>
      <c r="AJ247" s="219"/>
      <c r="AK247" s="219"/>
      <c r="AL247" s="219"/>
      <c r="AM247" s="219"/>
      <c r="AN247" s="219"/>
      <c r="AO247" s="220"/>
      <c r="AP247" s="220"/>
      <c r="AQ247" s="220"/>
      <c r="AR247" s="220"/>
      <c r="AS247" s="117"/>
      <c r="AT247" s="117"/>
      <c r="AU247" s="117"/>
      <c r="AV247" s="117"/>
      <c r="BB247" s="39"/>
      <c r="BE247" s="39"/>
      <c r="BH247" s="39"/>
      <c r="BK247" s="39"/>
      <c r="BN247" s="39"/>
      <c r="BQ247" s="39"/>
      <c r="BT247" s="39"/>
      <c r="BW247" s="39"/>
      <c r="BZ247" s="39"/>
      <c r="CC247" s="39"/>
    </row>
    <row r="248" spans="1:81" s="117" customFormat="1" hidden="1">
      <c r="A248" s="34"/>
      <c r="B248" s="34"/>
      <c r="C248" s="34" t="s">
        <v>223</v>
      </c>
      <c r="D248" s="34">
        <v>1</v>
      </c>
      <c r="E248" s="34"/>
      <c r="F248" s="34"/>
      <c r="G248" s="34">
        <v>2</v>
      </c>
      <c r="H248" s="34"/>
      <c r="I248" s="34"/>
      <c r="J248" s="34">
        <v>3</v>
      </c>
      <c r="K248" s="34"/>
      <c r="L248" s="34"/>
      <c r="M248" s="34"/>
      <c r="N248" s="34">
        <v>4</v>
      </c>
      <c r="O248" s="34"/>
      <c r="P248" s="34"/>
      <c r="Q248" s="34">
        <v>5</v>
      </c>
      <c r="R248" s="34"/>
      <c r="S248" s="34"/>
      <c r="T248" s="34">
        <v>6</v>
      </c>
      <c r="U248" s="34"/>
      <c r="V248" s="34"/>
      <c r="W248" s="34">
        <v>7</v>
      </c>
      <c r="X248" s="34"/>
      <c r="Y248" s="34"/>
      <c r="Z248" s="34">
        <v>8</v>
      </c>
      <c r="AA248" s="34"/>
      <c r="AB248" s="34"/>
      <c r="AC248" s="34">
        <v>9</v>
      </c>
      <c r="AD248" s="34"/>
      <c r="AE248" s="34"/>
      <c r="AF248" s="34">
        <v>10</v>
      </c>
      <c r="AG248" s="3"/>
      <c r="AH248" s="34"/>
      <c r="AJ248" s="169"/>
      <c r="AK248" s="3"/>
      <c r="AL248" s="3"/>
      <c r="AM248" s="3"/>
      <c r="AN248" s="3"/>
      <c r="AO248" s="3"/>
      <c r="AP248" s="3"/>
      <c r="AT248" s="169" t="s">
        <v>224</v>
      </c>
      <c r="AW248" s="170"/>
      <c r="BB248" s="170"/>
      <c r="BE248" s="170"/>
      <c r="BH248" s="170"/>
      <c r="BK248" s="170"/>
      <c r="BN248" s="170"/>
      <c r="BQ248" s="170"/>
      <c r="BT248" s="170"/>
      <c r="BW248" s="170"/>
      <c r="BZ248" s="170"/>
      <c r="CC248" s="170"/>
    </row>
    <row r="249" spans="1:81" s="117" customFormat="1" hidden="1">
      <c r="A249" s="171">
        <v>1</v>
      </c>
      <c r="B249" s="171" t="str">
        <f>E178</f>
        <v>Magnum 11 Black</v>
      </c>
      <c r="C249" s="171">
        <f>VLOOKUP(B249,AU$3:AY$33,3,FALSE)</f>
        <v>1266.6666666666667</v>
      </c>
      <c r="D249" s="171">
        <f>IF(B242,B257,IF(D242,D257,C249))</f>
        <v>1279.6336856701348</v>
      </c>
      <c r="E249" s="171"/>
      <c r="F249" s="171"/>
      <c r="G249" s="171">
        <f>IF(E242,E257,IF(G242,G257,D249))</f>
        <v>1279.6336856701348</v>
      </c>
      <c r="H249" s="171"/>
      <c r="I249" s="171"/>
      <c r="J249" s="171">
        <f>IF(H242,H257,IF(J242,J257,G249))</f>
        <v>1269.2602878305008</v>
      </c>
      <c r="K249" s="171"/>
      <c r="L249" s="171"/>
      <c r="M249" s="171"/>
      <c r="N249" s="171">
        <f>IF(L242,L257,IF(N242,N257,J249))</f>
        <v>1249.2279944440238</v>
      </c>
      <c r="O249" s="171"/>
      <c r="P249" s="171"/>
      <c r="Q249" s="171">
        <f>IF(O242,O257,IF(Q242,Q257,N249))</f>
        <v>1249.2279944440238</v>
      </c>
      <c r="R249" s="171"/>
      <c r="S249" s="171"/>
      <c r="T249" s="171">
        <f>IF(R242,R257,IF(T242,T257,Q249))</f>
        <v>1240.6866470437872</v>
      </c>
      <c r="U249" s="171"/>
      <c r="V249" s="171"/>
      <c r="W249" s="171">
        <f>IF(U242,U257,IF(W242,W257,T249))</f>
        <v>1240.6866470437872</v>
      </c>
      <c r="X249" s="171"/>
      <c r="Y249" s="171"/>
      <c r="Z249" s="171">
        <f>IF(X242,X257,IF(Z242,Z257,W249))</f>
        <v>1240.6866470437872</v>
      </c>
      <c r="AA249" s="171"/>
      <c r="AB249" s="171"/>
      <c r="AC249" s="171">
        <f>IF(AA242,AA257,IF(AC242,AC257,Z249))</f>
        <v>1240.6866470437872</v>
      </c>
      <c r="AD249" s="171"/>
      <c r="AE249" s="171"/>
      <c r="AF249" s="171">
        <f>IF(AD242,AD257,IF(AF242,AF257,AC249))</f>
        <v>1240.6866470437872</v>
      </c>
      <c r="AG249" s="3"/>
      <c r="AH249" s="3"/>
      <c r="AK249" s="3"/>
      <c r="AL249" s="3"/>
      <c r="AM249" s="3"/>
      <c r="AN249" s="3"/>
      <c r="AO249" s="3"/>
      <c r="AP249" s="3"/>
      <c r="AT249" s="117" t="str">
        <f>B249</f>
        <v>Magnum 11 Black</v>
      </c>
      <c r="AU249" s="117">
        <f>AF249</f>
        <v>1240.6866470437872</v>
      </c>
      <c r="AW249" s="170"/>
      <c r="BB249" s="170"/>
      <c r="BE249" s="170"/>
      <c r="BH249" s="170"/>
      <c r="BK249" s="170"/>
      <c r="BN249" s="170"/>
      <c r="BQ249" s="170"/>
      <c r="BT249" s="170"/>
      <c r="BW249" s="170"/>
      <c r="BZ249" s="170"/>
      <c r="CC249" s="170"/>
    </row>
    <row r="250" spans="1:81" s="117" customFormat="1" hidden="1">
      <c r="A250" s="171">
        <v>2</v>
      </c>
      <c r="B250" s="171" t="str">
        <f>E180</f>
        <v>SC Midlands KP Gray</v>
      </c>
      <c r="C250" s="171">
        <f>VLOOKUP(B250,AU$3:AY$33,3,FALSE)</f>
        <v>1200</v>
      </c>
      <c r="D250" s="171">
        <f>IF(B243,B257,IF(D243,D257,C250))</f>
        <v>1187.0329809965319</v>
      </c>
      <c r="E250" s="171"/>
      <c r="F250" s="171"/>
      <c r="G250" s="171">
        <f>IF(E243,E257,IF(G243,G257,D250))</f>
        <v>1179.7723925807686</v>
      </c>
      <c r="H250" s="171"/>
      <c r="I250" s="171"/>
      <c r="J250" s="171">
        <f>IF(H243,H257,IF(J243,J257,G250))</f>
        <v>1179.7723925807686</v>
      </c>
      <c r="K250" s="171"/>
      <c r="L250" s="171"/>
      <c r="M250" s="171"/>
      <c r="N250" s="171">
        <f>IF(L243,L257,IF(N243,N257,J250))</f>
        <v>1199.8046859672456</v>
      </c>
      <c r="O250" s="171"/>
      <c r="P250" s="171"/>
      <c r="Q250" s="171">
        <f>IF(O243,O257,IF(Q243,Q257,N250))</f>
        <v>1192.7000067243928</v>
      </c>
      <c r="R250" s="171"/>
      <c r="S250" s="171"/>
      <c r="T250" s="171">
        <f>IF(R243,R257,IF(T243,T257,Q250))</f>
        <v>1192.7000067243928</v>
      </c>
      <c r="U250" s="171"/>
      <c r="V250" s="171"/>
      <c r="W250" s="171">
        <f>IF(U243,U257,IF(W243,W257,T250))</f>
        <v>1192.7000067243928</v>
      </c>
      <c r="X250" s="171"/>
      <c r="Y250" s="171"/>
      <c r="Z250" s="171">
        <f>IF(X243,X257,IF(Z243,Z257,W250))</f>
        <v>1192.7000067243928</v>
      </c>
      <c r="AA250" s="171"/>
      <c r="AB250" s="171"/>
      <c r="AC250" s="171">
        <f>IF(AA243,AA257,IF(AC243,AC257,Z250))</f>
        <v>1192.7000067243928</v>
      </c>
      <c r="AD250" s="171"/>
      <c r="AE250" s="171"/>
      <c r="AF250" s="171">
        <f>IF(AD243,AD257,IF(AF243,AF257,AC250))</f>
        <v>1192.7000067243928</v>
      </c>
      <c r="AG250" s="3"/>
      <c r="AH250" s="3"/>
      <c r="AK250" s="3"/>
      <c r="AM250" s="3"/>
      <c r="AN250" s="3"/>
      <c r="AO250" s="3"/>
      <c r="AP250" s="3"/>
      <c r="AT250" s="117" t="str">
        <f>B250</f>
        <v>SC Midlands KP Gray</v>
      </c>
      <c r="AU250" s="117">
        <f>AF250</f>
        <v>1192.7000067243928</v>
      </c>
      <c r="AW250" s="170"/>
      <c r="BB250" s="170"/>
      <c r="BE250" s="170"/>
      <c r="BH250" s="170"/>
      <c r="BK250" s="170"/>
      <c r="BN250" s="170"/>
      <c r="BQ250" s="170"/>
      <c r="BT250" s="170"/>
      <c r="BW250" s="170"/>
      <c r="BZ250" s="170"/>
      <c r="CC250" s="170"/>
    </row>
    <row r="251" spans="1:81" s="117" customFormat="1" hidden="1">
      <c r="A251" s="171">
        <v>3</v>
      </c>
      <c r="B251" s="171" t="str">
        <f>E182</f>
        <v>USA 12 Purple</v>
      </c>
      <c r="C251" s="171">
        <f>VLOOKUP(B251,AU$3:AY$33,3,FALSE)</f>
        <v>1400</v>
      </c>
      <c r="D251" s="171">
        <f>IF(B244,B257,IF(D244,D257,C251))</f>
        <v>1400</v>
      </c>
      <c r="E251" s="171"/>
      <c r="F251" s="171"/>
      <c r="G251" s="171">
        <f>IF(E244,E257,IF(G244,G257,D251))</f>
        <v>1407.2605884157633</v>
      </c>
      <c r="H251" s="171"/>
      <c r="I251" s="171"/>
      <c r="J251" s="171">
        <f>IF(H244,H257,IF(J244,J257,G251))</f>
        <v>1417.6339862553973</v>
      </c>
      <c r="K251" s="171"/>
      <c r="L251" s="171"/>
      <c r="M251" s="171"/>
      <c r="N251" s="171">
        <f>IF(L244,L257,IF(N244,N257,J251))</f>
        <v>1417.6339862553973</v>
      </c>
      <c r="O251" s="171"/>
      <c r="P251" s="171"/>
      <c r="Q251" s="171">
        <f>IF(O244,O257,IF(Q244,Q257,N251))</f>
        <v>1424.7386654982502</v>
      </c>
      <c r="R251" s="171"/>
      <c r="S251" s="171"/>
      <c r="T251" s="171">
        <f>IF(R244,R257,IF(T244,T257,Q251))</f>
        <v>1433.2800128984868</v>
      </c>
      <c r="U251" s="171"/>
      <c r="V251" s="171"/>
      <c r="W251" s="171">
        <f>IF(U244,U257,IF(W244,W257,T251))</f>
        <v>1433.2800128984868</v>
      </c>
      <c r="X251" s="171"/>
      <c r="Y251" s="171"/>
      <c r="Z251" s="171">
        <f>IF(X244,X257,IF(Z244,Z257,W251))</f>
        <v>1433.2800128984868</v>
      </c>
      <c r="AA251" s="171"/>
      <c r="AB251" s="171"/>
      <c r="AC251" s="171">
        <f>IF(AA244,AA257,IF(AC244,AC257,Z251))</f>
        <v>1433.2800128984868</v>
      </c>
      <c r="AD251" s="171"/>
      <c r="AE251" s="171"/>
      <c r="AF251" s="171">
        <f>IF(AD244,AD257,IF(AF244,AF257,AC251))</f>
        <v>1433.2800128984868</v>
      </c>
      <c r="AG251" s="3"/>
      <c r="AH251" s="3"/>
      <c r="AK251" s="3"/>
      <c r="AM251" s="3"/>
      <c r="AN251" s="3"/>
      <c r="AO251" s="3"/>
      <c r="AP251" s="3"/>
      <c r="AT251" s="117" t="str">
        <f>B251</f>
        <v>USA 12 Purple</v>
      </c>
      <c r="AU251" s="117">
        <f>AF251</f>
        <v>1433.2800128984868</v>
      </c>
      <c r="AW251" s="170"/>
      <c r="BB251" s="170"/>
      <c r="BE251" s="170"/>
      <c r="BH251" s="170"/>
      <c r="BK251" s="170"/>
      <c r="BN251" s="170"/>
      <c r="BQ251" s="170"/>
      <c r="BT251" s="170"/>
      <c r="BW251" s="170"/>
      <c r="BZ251" s="170"/>
      <c r="CC251" s="170"/>
    </row>
    <row r="252" spans="1:81" s="117" customFormat="1" hidden="1">
      <c r="A252" s="171">
        <v>4</v>
      </c>
      <c r="B252" s="171">
        <f>E184</f>
        <v>0</v>
      </c>
      <c r="C252" s="171" t="e">
        <f>VLOOKUP(B252,AU$3:AY$33,3,FALSE)</f>
        <v>#N/A</v>
      </c>
      <c r="D252" s="171" t="e">
        <f>IF(B245,B257,IF(D245,D257,C252))</f>
        <v>#N/A</v>
      </c>
      <c r="E252" s="171"/>
      <c r="F252" s="171"/>
      <c r="G252" s="171" t="e">
        <f>IF(E245,E257,IF(G245,G257,D252))</f>
        <v>#N/A</v>
      </c>
      <c r="H252" s="171"/>
      <c r="I252" s="171"/>
      <c r="J252" s="171" t="e">
        <f>IF(H245,H257,IF(J245,J257,G252))</f>
        <v>#N/A</v>
      </c>
      <c r="K252" s="171"/>
      <c r="L252" s="171"/>
      <c r="M252" s="171"/>
      <c r="N252" s="171" t="e">
        <f>IF(L245,L257,IF(N245,N257,J252))</f>
        <v>#N/A</v>
      </c>
      <c r="O252" s="171"/>
      <c r="P252" s="171"/>
      <c r="Q252" s="171" t="e">
        <f>IF(O245,O257,IF(Q245,Q257,N252))</f>
        <v>#N/A</v>
      </c>
      <c r="R252" s="171"/>
      <c r="S252" s="171"/>
      <c r="T252" s="171" t="e">
        <f>IF(R245,R257,IF(T245,T257,Q252))</f>
        <v>#N/A</v>
      </c>
      <c r="U252" s="171"/>
      <c r="V252" s="171"/>
      <c r="W252" s="171" t="e">
        <f>IF(U245,U257,IF(W245,W257,T252))</f>
        <v>#N/A</v>
      </c>
      <c r="X252" s="171"/>
      <c r="Y252" s="171"/>
      <c r="Z252" s="171" t="e">
        <f>IF(X245,X257,IF(Z245,Z257,W252))</f>
        <v>#N/A</v>
      </c>
      <c r="AA252" s="171"/>
      <c r="AB252" s="171"/>
      <c r="AC252" s="171" t="e">
        <f>IF(AA245,AA257,IF(AC245,AC257,Z252))</f>
        <v>#N/A</v>
      </c>
      <c r="AD252" s="171"/>
      <c r="AE252" s="171"/>
      <c r="AF252" s="171" t="e">
        <f>IF(AD245,AD257,IF(AF245,AF257,AC252))</f>
        <v>#N/A</v>
      </c>
      <c r="AG252" s="3"/>
      <c r="AH252" s="3"/>
      <c r="AK252" s="3"/>
      <c r="AM252" s="3"/>
      <c r="AN252" s="3"/>
      <c r="AO252" s="3"/>
      <c r="AP252" s="3"/>
      <c r="AT252" s="117">
        <f>B252</f>
        <v>0</v>
      </c>
      <c r="AU252" s="117" t="e">
        <f>AF252</f>
        <v>#N/A</v>
      </c>
      <c r="AW252" s="170"/>
      <c r="BB252" s="170"/>
      <c r="BE252" s="170"/>
      <c r="BH252" s="170"/>
      <c r="BK252" s="170"/>
      <c r="BN252" s="170"/>
      <c r="BQ252" s="170"/>
      <c r="BT252" s="170"/>
      <c r="BW252" s="170"/>
      <c r="BZ252" s="170"/>
      <c r="CC252" s="170"/>
    </row>
    <row r="253" spans="1:81" s="117" customFormat="1" hidden="1">
      <c r="A253" s="171">
        <v>5</v>
      </c>
      <c r="B253" s="171">
        <f>E186</f>
        <v>0</v>
      </c>
      <c r="C253" s="171" t="e">
        <f>VLOOKUP(B253,AU$3:AY$33,3,FALSE)</f>
        <v>#N/A</v>
      </c>
      <c r="D253" s="171" t="e">
        <f>IF(B246,B257,IF(D246,D257,C253))</f>
        <v>#N/A</v>
      </c>
      <c r="E253" s="171"/>
      <c r="F253" s="171"/>
      <c r="G253" s="171" t="e">
        <f>IF(E246,E257,IF(G246,G257,D253))</f>
        <v>#N/A</v>
      </c>
      <c r="H253" s="171"/>
      <c r="I253" s="171"/>
      <c r="J253" s="171" t="e">
        <f>IF(H246,H257,IF(J246,J257,G253))</f>
        <v>#N/A</v>
      </c>
      <c r="K253" s="171"/>
      <c r="L253" s="171"/>
      <c r="M253" s="171"/>
      <c r="N253" s="171" t="e">
        <f>IF(L246,L257,IF(N246,N257,J253))</f>
        <v>#N/A</v>
      </c>
      <c r="O253" s="171"/>
      <c r="P253" s="171"/>
      <c r="Q253" s="171" t="e">
        <f>IF(O246,O257,IF(Q246,Q257,N253))</f>
        <v>#N/A</v>
      </c>
      <c r="R253" s="171"/>
      <c r="S253" s="171"/>
      <c r="T253" s="171" t="e">
        <f>IF(R246,R257,IF(T246,T257,Q253))</f>
        <v>#N/A</v>
      </c>
      <c r="U253" s="171"/>
      <c r="V253" s="171"/>
      <c r="W253" s="171" t="e">
        <f>IF(U246,U257,IF(W246,W257,T253))</f>
        <v>#N/A</v>
      </c>
      <c r="X253" s="171"/>
      <c r="Y253" s="171"/>
      <c r="Z253" s="171" t="e">
        <f>IF(X246,X257,IF(Z246,Z257,W253))</f>
        <v>#N/A</v>
      </c>
      <c r="AA253" s="171"/>
      <c r="AB253" s="171"/>
      <c r="AC253" s="171" t="e">
        <f>IF(AA246,AA257,IF(AC246,AC257,Z253))</f>
        <v>#N/A</v>
      </c>
      <c r="AD253" s="171"/>
      <c r="AE253" s="171"/>
      <c r="AF253" s="171" t="e">
        <f>IF(AD246,AD257,IF(AF246,AF257,AC253))</f>
        <v>#N/A</v>
      </c>
      <c r="AG253" s="3"/>
      <c r="AH253" s="3"/>
      <c r="AK253" s="3"/>
      <c r="AM253" s="3"/>
      <c r="AN253" s="3"/>
      <c r="AO253" s="3"/>
      <c r="AP253" s="3"/>
      <c r="AT253" s="117">
        <f>B253</f>
        <v>0</v>
      </c>
      <c r="AU253" s="117" t="e">
        <f>AF253</f>
        <v>#N/A</v>
      </c>
      <c r="AW253" s="170"/>
      <c r="BB253" s="170"/>
      <c r="BE253" s="170"/>
      <c r="BH253" s="170"/>
      <c r="BK253" s="170"/>
      <c r="BN253" s="170"/>
      <c r="BQ253" s="170"/>
      <c r="BT253" s="170"/>
      <c r="BW253" s="170"/>
      <c r="BZ253" s="170"/>
      <c r="CC253" s="170"/>
    </row>
    <row r="254" spans="1:81" s="117" customFormat="1" hidden="1">
      <c r="A254" s="171"/>
      <c r="B254" s="171"/>
      <c r="C254" s="171"/>
      <c r="D254" s="171"/>
      <c r="E254" s="171"/>
      <c r="F254" s="171"/>
      <c r="G254" s="171"/>
      <c r="H254" s="171"/>
      <c r="I254" s="171"/>
      <c r="J254" s="171"/>
      <c r="K254" s="171"/>
      <c r="L254" s="171"/>
      <c r="M254" s="171"/>
      <c r="N254" s="171"/>
      <c r="O254" s="171"/>
      <c r="P254" s="171"/>
      <c r="Q254" s="171"/>
      <c r="R254" s="171"/>
      <c r="S254" s="171"/>
      <c r="T254" s="171"/>
      <c r="U254" s="171"/>
      <c r="V254" s="171"/>
      <c r="W254" s="171"/>
      <c r="X254" s="171"/>
      <c r="Y254" s="171"/>
      <c r="Z254" s="171"/>
      <c r="AA254" s="171"/>
      <c r="AB254" s="171"/>
      <c r="AC254" s="171"/>
      <c r="AD254" s="171"/>
      <c r="AE254" s="171"/>
      <c r="AF254" s="171"/>
      <c r="AG254" s="3"/>
      <c r="AH254" s="3"/>
      <c r="AK254" s="3"/>
      <c r="AM254" s="3"/>
      <c r="AN254" s="3"/>
      <c r="AO254" s="3"/>
      <c r="AP254" s="3"/>
      <c r="AW254" s="170"/>
      <c r="BB254" s="170"/>
      <c r="BE254" s="170"/>
      <c r="BH254" s="170"/>
      <c r="BK254" s="170"/>
      <c r="BN254" s="170"/>
      <c r="BQ254" s="170"/>
      <c r="BT254" s="170"/>
      <c r="BW254" s="170"/>
      <c r="BZ254" s="170"/>
      <c r="CC254" s="170"/>
    </row>
    <row r="255" spans="1:81" s="117" customFormat="1" hidden="1">
      <c r="A255" s="171" t="s">
        <v>225</v>
      </c>
      <c r="B255" s="171">
        <f>VLOOKUP(B194,$A249:$AF253,3,FALSE)</f>
        <v>1266.6666666666667</v>
      </c>
      <c r="C255" s="171">
        <v>1</v>
      </c>
      <c r="D255" s="171">
        <f>VLOOKUP(D194,$A249:$AF253,3,FALSE)</f>
        <v>1200</v>
      </c>
      <c r="E255" s="171">
        <f>VLOOKUP(E194,$A249:$AF253,4,FALSE)</f>
        <v>1187.0329809965319</v>
      </c>
      <c r="F255" s="171">
        <v>2</v>
      </c>
      <c r="G255" s="171">
        <f>VLOOKUP(G194,$A249:$AF253,4,FALSE)</f>
        <v>1400</v>
      </c>
      <c r="H255" s="171">
        <f>VLOOKUP(H194,$A249:$AF253,7,FALSE)</f>
        <v>1279.6336856701348</v>
      </c>
      <c r="I255" s="171">
        <v>3</v>
      </c>
      <c r="J255" s="171">
        <f>VLOOKUP(J194,$A249:$AF253,7,FALSE)</f>
        <v>1407.2605884157633</v>
      </c>
      <c r="K255" s="171"/>
      <c r="L255" s="171">
        <f>VLOOKUP(L194,$A249:$AF253,10,FALSE)</f>
        <v>1269.2602878305008</v>
      </c>
      <c r="M255" s="171">
        <v>4</v>
      </c>
      <c r="N255" s="171">
        <f>VLOOKUP(N194,$A249:$AF253,10,FALSE)</f>
        <v>1179.7723925807686</v>
      </c>
      <c r="O255" s="171">
        <f>VLOOKUP(O194,$A249:$AF253,14,FALSE)</f>
        <v>1199.8046859672456</v>
      </c>
      <c r="P255" s="171">
        <v>5</v>
      </c>
      <c r="Q255" s="171">
        <f>VLOOKUP(Q194,$A249:$AF253,14,FALSE)</f>
        <v>1417.6339862553973</v>
      </c>
      <c r="R255" s="171">
        <f>VLOOKUP(R194,$A249:$AF253,17,FALSE)</f>
        <v>1249.2279944440238</v>
      </c>
      <c r="S255" s="171">
        <v>6</v>
      </c>
      <c r="T255" s="171">
        <f>VLOOKUP(T194,$A249:$AF253,17,FALSE)</f>
        <v>1424.7386654982502</v>
      </c>
      <c r="U255" s="171">
        <f>VLOOKUP(U194,$A249:$AF253,20,FALSE)</f>
        <v>1192.7000067243928</v>
      </c>
      <c r="V255" s="171">
        <v>7</v>
      </c>
      <c r="W255" s="171">
        <f>VLOOKUP(W194,$A249:$AF253,20,FALSE)</f>
        <v>1433.2800128984868</v>
      </c>
      <c r="X255" s="171">
        <f>VLOOKUP(X194,$A249:$AF253,23,FALSE)</f>
        <v>1240.6866470437872</v>
      </c>
      <c r="Y255" s="171">
        <v>8</v>
      </c>
      <c r="Z255" s="171" t="e">
        <f>VLOOKUP(Z194,$A249:$AF253,23,FALSE)</f>
        <v>#N/A</v>
      </c>
      <c r="AA255" s="171">
        <f>VLOOKUP(AA194,$A249:$AF253,26,FALSE)</f>
        <v>1433.2800128984868</v>
      </c>
      <c r="AB255" s="171">
        <v>9</v>
      </c>
      <c r="AC255" s="171" t="e">
        <f>VLOOKUP(AC194,$A249:$AF253,26,FALSE)</f>
        <v>#N/A</v>
      </c>
      <c r="AD255" s="171">
        <f>VLOOKUP(AD194,$A249:$AF253,29,FALSE)</f>
        <v>1240.6866470437872</v>
      </c>
      <c r="AE255" s="171">
        <v>10</v>
      </c>
      <c r="AF255" s="171">
        <f>VLOOKUP(AF194,$A249:$AF253,29,FALSE)</f>
        <v>1192.7000067243928</v>
      </c>
      <c r="AG255" s="3"/>
      <c r="AH255" s="219"/>
      <c r="AI255" s="219"/>
      <c r="AJ255" s="219"/>
      <c r="AK255" s="219"/>
      <c r="AL255" s="219"/>
      <c r="AM255" s="219"/>
      <c r="AN255" s="219"/>
      <c r="AO255" s="220"/>
      <c r="AP255" s="220"/>
      <c r="AQ255" s="220"/>
      <c r="AR255" s="220"/>
      <c r="AW255" s="170"/>
      <c r="BB255" s="170"/>
      <c r="BE255" s="170"/>
      <c r="BH255" s="170"/>
      <c r="BK255" s="170"/>
      <c r="BN255" s="170"/>
      <c r="BQ255" s="170"/>
      <c r="BT255" s="170"/>
      <c r="BW255" s="170"/>
      <c r="BZ255" s="170"/>
      <c r="CC255" s="170"/>
    </row>
    <row r="256" spans="1:81" s="176" customFormat="1" hidden="1">
      <c r="A256" s="172" t="s">
        <v>226</v>
      </c>
      <c r="B256" s="172">
        <f>1/(1+(10^-((B255-D255)/400)))*(B206+D206)</f>
        <v>0.59478065614162234</v>
      </c>
      <c r="C256" s="172"/>
      <c r="D256" s="172">
        <f>1/(1+(10^-((D255-B255)/400)))*(B206+D206)</f>
        <v>0.4052193438583776</v>
      </c>
      <c r="E256" s="172">
        <f>1/(1+(10^-((E255-G255)/400)))*(E206+G206)</f>
        <v>0.22689338799260292</v>
      </c>
      <c r="F256" s="172"/>
      <c r="G256" s="172">
        <f>1/(1+(10^-((G255-E255)/400)))*(E206+G206)</f>
        <v>0.77310661200739705</v>
      </c>
      <c r="H256" s="172">
        <f>1/(1+(10^-((H255-J255)/400)))*(H206+J206)</f>
        <v>0.32416868248855979</v>
      </c>
      <c r="I256" s="172"/>
      <c r="J256" s="172">
        <f>1/(1+(10^-((J255-H255)/400)))*(H206+J206)</f>
        <v>0.67583131751144021</v>
      </c>
      <c r="K256" s="172"/>
      <c r="L256" s="172">
        <f>1/(1+(10^-((L255-N255)/400)))*(L206+N206)</f>
        <v>0.6260091683274045</v>
      </c>
      <c r="M256" s="172"/>
      <c r="N256" s="172">
        <f>1/(1+(10^-((N255-L255)/400)))*(L206+N206)</f>
        <v>0.37399083167259545</v>
      </c>
      <c r="O256" s="172">
        <f>1/(1+(10^-((O255-Q255)/400)))*(O206+Q206)</f>
        <v>0.2220212263391525</v>
      </c>
      <c r="P256" s="172"/>
      <c r="Q256" s="172">
        <f>1/(1+(10^-((Q255-O255)/400)))*(O206+Q206)</f>
        <v>0.77797877366084756</v>
      </c>
      <c r="R256" s="172">
        <f>1/(1+(10^-((R255-T255)/400)))*(R206+T206)</f>
        <v>0.26691710625739795</v>
      </c>
      <c r="S256" s="172"/>
      <c r="T256" s="172">
        <f>1/(1+(10^-((T255-R255)/400)))*(R206+T206)</f>
        <v>0.73308289374260205</v>
      </c>
      <c r="U256" s="172">
        <f>1/(1+(10^-((U255-W255)/400)))*(U206+W206)</f>
        <v>0</v>
      </c>
      <c r="V256" s="172"/>
      <c r="W256" s="172">
        <f>1/(1+(10^-((W255-U255)/400)))*(U206+W206)</f>
        <v>0</v>
      </c>
      <c r="X256" s="172" t="e">
        <f>1/(1+(10^-((X255-Z255)/400)))*(X206+Z206)</f>
        <v>#N/A</v>
      </c>
      <c r="Y256" s="172"/>
      <c r="Z256" s="172" t="e">
        <f>1/(1+(10^-((Z255-X255)/400)))*(X206+Z206)</f>
        <v>#N/A</v>
      </c>
      <c r="AA256" s="172" t="e">
        <f>1/(1+(10^-((AA255-AC255)/400)))*(AA206+AC206)</f>
        <v>#N/A</v>
      </c>
      <c r="AB256" s="172"/>
      <c r="AC256" s="172" t="e">
        <f>1/(1+(10^-((AC255-AA255)/400)))*(AA206+AC206)</f>
        <v>#N/A</v>
      </c>
      <c r="AD256" s="172">
        <f>1/(1+(10^-((AD255-AF255)/400)))*(AD206+AF206)</f>
        <v>0</v>
      </c>
      <c r="AE256" s="172"/>
      <c r="AF256" s="172">
        <f>1/(1+(10^-((AF255-AD255)/400)))*(AD206+AF206)</f>
        <v>0</v>
      </c>
      <c r="AG256" s="173"/>
      <c r="AH256" s="174"/>
      <c r="AI256" s="174"/>
      <c r="AJ256" s="174"/>
      <c r="AK256" s="174"/>
      <c r="AL256" s="174"/>
      <c r="AM256" s="174"/>
      <c r="AN256" s="174"/>
      <c r="AO256" s="175"/>
      <c r="AP256" s="175"/>
      <c r="AQ256" s="175"/>
      <c r="AR256" s="175"/>
      <c r="AW256" s="177"/>
      <c r="BB256" s="177"/>
      <c r="BE256" s="177"/>
      <c r="BH256" s="177"/>
      <c r="BK256" s="177"/>
      <c r="BN256" s="177"/>
      <c r="BQ256" s="177"/>
      <c r="BT256" s="177"/>
      <c r="BW256" s="177"/>
      <c r="BZ256" s="177"/>
      <c r="CC256" s="177"/>
    </row>
    <row r="257" spans="1:81" s="182" customFormat="1" hidden="1">
      <c r="A257" s="178" t="s">
        <v>227</v>
      </c>
      <c r="B257" s="178">
        <f>B255+(B206-B256)*$BA$1</f>
        <v>1279.6336856701348</v>
      </c>
      <c r="C257" s="178"/>
      <c r="D257" s="178">
        <f>D255+(D206-D256)*$BA$1</f>
        <v>1187.0329809965319</v>
      </c>
      <c r="E257" s="178">
        <f>E255+(E206-E256)*$BA$1</f>
        <v>1179.7723925807686</v>
      </c>
      <c r="F257" s="178"/>
      <c r="G257" s="178">
        <f>G255+(G206-G256)*$BA$1</f>
        <v>1407.2605884157633</v>
      </c>
      <c r="H257" s="178">
        <f>H255+(H206-H256)*$BA$1</f>
        <v>1269.2602878305008</v>
      </c>
      <c r="I257" s="178"/>
      <c r="J257" s="178">
        <f>J255+(J206-J256)*$BA$1</f>
        <v>1417.6339862553973</v>
      </c>
      <c r="K257" s="178"/>
      <c r="L257" s="178">
        <f>L255+(L206-L256)*$BA$1</f>
        <v>1249.2279944440238</v>
      </c>
      <c r="M257" s="178"/>
      <c r="N257" s="178">
        <f>N255+(N206-N256)*$BA$1</f>
        <v>1199.8046859672456</v>
      </c>
      <c r="O257" s="178">
        <f>O255+(O206-O256)*$BA$1</f>
        <v>1192.7000067243928</v>
      </c>
      <c r="P257" s="178"/>
      <c r="Q257" s="178">
        <f>Q255+(Q206-Q256)*$BA$1</f>
        <v>1424.7386654982502</v>
      </c>
      <c r="R257" s="178">
        <f>R255+(R206-R256)*$BA$1</f>
        <v>1240.6866470437872</v>
      </c>
      <c r="S257" s="178"/>
      <c r="T257" s="178">
        <f>T255+(T206-T256)*$BA$1</f>
        <v>1433.2800128984868</v>
      </c>
      <c r="U257" s="178">
        <f>U255+(U206-U256)*$BA$1</f>
        <v>1192.7000067243928</v>
      </c>
      <c r="V257" s="178"/>
      <c r="W257" s="178">
        <f>W255+(W206-W256)*$BA$1</f>
        <v>1433.2800128984868</v>
      </c>
      <c r="X257" s="178" t="e">
        <f>X255+(X206-X256)*$BA$1</f>
        <v>#N/A</v>
      </c>
      <c r="Y257" s="178"/>
      <c r="Z257" s="178" t="e">
        <f>Z255+(Z206-Z256)*$BA$1</f>
        <v>#N/A</v>
      </c>
      <c r="AA257" s="178" t="e">
        <f>AA255+(AA206-AA256)*$BA$1</f>
        <v>#N/A</v>
      </c>
      <c r="AB257" s="178"/>
      <c r="AC257" s="178" t="e">
        <f>AC255+(AC206-AC256)*$BA$1</f>
        <v>#N/A</v>
      </c>
      <c r="AD257" s="178">
        <f>AD255+(AD206-AD256)*$BA$1</f>
        <v>1240.6866470437872</v>
      </c>
      <c r="AE257" s="178"/>
      <c r="AF257" s="178">
        <f>AF255+(AF206-AF256)*$BA$1</f>
        <v>1192.7000067243928</v>
      </c>
      <c r="AG257" s="179"/>
      <c r="AH257" s="180"/>
      <c r="AI257" s="180"/>
      <c r="AJ257" s="180"/>
      <c r="AK257" s="180"/>
      <c r="AL257" s="180"/>
      <c r="AM257" s="180"/>
      <c r="AN257" s="180"/>
      <c r="AO257" s="181"/>
      <c r="AP257" s="181"/>
      <c r="AQ257" s="181"/>
      <c r="AR257" s="181"/>
      <c r="AW257" s="183"/>
      <c r="BB257" s="183"/>
      <c r="BE257" s="183"/>
      <c r="BH257" s="183"/>
      <c r="BK257" s="183"/>
      <c r="BN257" s="183"/>
      <c r="BQ257" s="183"/>
      <c r="BT257" s="183"/>
      <c r="BW257" s="183"/>
      <c r="BZ257" s="183"/>
      <c r="CC257" s="183"/>
    </row>
    <row r="258" spans="1:81" s="182" customFormat="1" hidden="1">
      <c r="A258" s="178"/>
      <c r="B258" s="178"/>
      <c r="C258" s="178"/>
      <c r="D258" s="178"/>
      <c r="E258" s="178"/>
      <c r="F258" s="178"/>
      <c r="G258" s="178"/>
      <c r="H258" s="178"/>
      <c r="I258" s="178"/>
      <c r="J258" s="178"/>
      <c r="K258" s="178"/>
      <c r="L258" s="178"/>
      <c r="M258" s="178"/>
      <c r="N258" s="178"/>
      <c r="O258" s="178"/>
      <c r="P258" s="178"/>
      <c r="Q258" s="178"/>
      <c r="R258" s="178"/>
      <c r="S258" s="178"/>
      <c r="T258" s="178"/>
      <c r="U258" s="178"/>
      <c r="V258" s="178"/>
      <c r="W258" s="178"/>
      <c r="X258" s="178"/>
      <c r="Y258" s="178"/>
      <c r="Z258" s="178"/>
      <c r="AA258" s="178"/>
      <c r="AB258" s="178"/>
      <c r="AC258" s="178"/>
      <c r="AD258" s="178"/>
      <c r="AE258" s="178"/>
      <c r="AF258" s="178"/>
      <c r="AG258" s="179"/>
      <c r="AH258" s="180"/>
      <c r="AI258" s="180"/>
      <c r="AJ258" s="180"/>
      <c r="AK258" s="180"/>
      <c r="AL258" s="180"/>
      <c r="AM258" s="180"/>
      <c r="AN258" s="180"/>
      <c r="AO258" s="181"/>
      <c r="AP258" s="181"/>
      <c r="AQ258" s="181"/>
      <c r="AR258" s="181"/>
      <c r="AW258" s="183"/>
      <c r="BB258" s="183"/>
      <c r="BE258" s="183"/>
      <c r="BH258" s="183"/>
      <c r="BK258" s="183"/>
      <c r="BN258" s="183"/>
      <c r="BQ258" s="183"/>
      <c r="BT258" s="183"/>
      <c r="BW258" s="183"/>
      <c r="BZ258" s="183"/>
      <c r="CC258" s="183"/>
    </row>
    <row r="259" spans="1:81" s="117" customFormat="1">
      <c r="A259" s="393" t="str">
        <f>IF($AL180=1,"Pool Tiereaker : 1) Matches Won vs Lost (if 3 way tie then #4)  2) Head to Head  3) Game Win %  4) Total Pool Net Points  5) Flip a Coin","Pool Tiebreaker : 1) Games Won vs Lost (if 3 way tie then #5)  2) Head to Head  3) Head to Head Net Points  4) Game Win %  5) Total Pool Net Points  6) Flip a Coin")</f>
        <v>Pool Tiereaker : 1) Matches Won vs Lost (if 3 way tie then #4)  2) Head to Head  3) Game Win %  4) Total Pool Net Points  5) Flip a Coin</v>
      </c>
      <c r="B259" s="393"/>
      <c r="C259" s="393"/>
      <c r="D259" s="393"/>
      <c r="E259" s="393"/>
      <c r="F259" s="393"/>
      <c r="G259" s="393"/>
      <c r="H259" s="393"/>
      <c r="I259" s="393"/>
      <c r="J259" s="393"/>
      <c r="K259" s="393"/>
      <c r="L259" s="393"/>
      <c r="M259" s="393"/>
      <c r="N259" s="393"/>
      <c r="O259" s="393"/>
      <c r="P259" s="393"/>
      <c r="Q259" s="393"/>
      <c r="R259" s="393"/>
      <c r="S259" s="393"/>
      <c r="T259" s="393"/>
      <c r="U259" s="393"/>
      <c r="V259" s="393"/>
      <c r="W259" s="393"/>
      <c r="X259" s="393"/>
      <c r="Y259" s="393"/>
      <c r="Z259" s="393"/>
      <c r="AA259" s="393"/>
      <c r="AB259" s="393"/>
      <c r="AC259" s="393"/>
      <c r="AD259" s="393"/>
      <c r="AE259" s="393"/>
      <c r="AF259" s="393"/>
      <c r="AG259" s="393"/>
      <c r="AH259" s="393"/>
      <c r="AI259" s="393"/>
      <c r="AJ259" s="393"/>
      <c r="AK259" s="393"/>
      <c r="AL259" s="393"/>
      <c r="AM259" s="393"/>
      <c r="AN259" s="394"/>
      <c r="AO259" s="394"/>
      <c r="AP259" s="394"/>
      <c r="AQ259" s="394"/>
      <c r="AW259" s="170"/>
    </row>
    <row r="260" spans="1:81" s="117" customFormat="1">
      <c r="A260" s="395"/>
      <c r="B260" s="395"/>
      <c r="C260" s="395"/>
      <c r="D260" s="395"/>
      <c r="E260" s="395"/>
      <c r="F260" s="395"/>
      <c r="G260" s="395"/>
      <c r="H260" s="395"/>
      <c r="I260" s="395"/>
      <c r="J260" s="395"/>
      <c r="K260" s="395"/>
      <c r="L260" s="395"/>
      <c r="M260" s="395"/>
      <c r="N260" s="395"/>
      <c r="O260" s="395"/>
      <c r="P260" s="395"/>
      <c r="Q260" s="395"/>
      <c r="R260" s="395"/>
      <c r="S260" s="395"/>
      <c r="T260" s="395"/>
      <c r="U260" s="395"/>
      <c r="V260" s="395"/>
      <c r="W260" s="395"/>
      <c r="X260" s="395"/>
      <c r="Y260" s="395"/>
      <c r="Z260" s="395"/>
      <c r="AA260" s="395"/>
      <c r="AB260" s="395"/>
      <c r="AC260" s="395"/>
      <c r="AD260" s="395"/>
      <c r="AE260" s="395"/>
      <c r="AF260" s="395"/>
      <c r="AG260" s="395"/>
      <c r="AH260" s="395"/>
      <c r="AI260" s="395"/>
      <c r="AJ260" s="395"/>
      <c r="AK260" s="395"/>
      <c r="AL260" s="395"/>
      <c r="AM260" s="395"/>
      <c r="AN260" s="395"/>
      <c r="AO260" s="395"/>
      <c r="AP260" s="395"/>
      <c r="AQ260" s="395"/>
      <c r="AR260" s="395"/>
      <c r="AW260" s="170"/>
    </row>
    <row r="261" spans="1:81" ht="21" thickBot="1">
      <c r="A261" s="396" t="s">
        <v>230</v>
      </c>
      <c r="B261" s="396"/>
      <c r="C261" s="396"/>
      <c r="D261" s="396"/>
      <c r="E261" s="396"/>
      <c r="F261" s="396"/>
      <c r="G261" s="396"/>
      <c r="H261" s="396"/>
      <c r="I261" s="396"/>
      <c r="J261" s="396"/>
      <c r="K261" s="396"/>
      <c r="L261" s="396"/>
      <c r="M261" s="396"/>
      <c r="N261" s="396"/>
      <c r="O261" s="396"/>
      <c r="P261" s="396"/>
      <c r="Q261" s="396"/>
      <c r="R261" s="396"/>
      <c r="S261" s="396"/>
      <c r="T261" s="396"/>
      <c r="U261" s="396"/>
      <c r="V261" s="396"/>
      <c r="W261" s="396"/>
      <c r="X261" s="396"/>
      <c r="Y261" s="396"/>
      <c r="Z261" s="396"/>
      <c r="AA261" s="396"/>
      <c r="AB261" s="396"/>
      <c r="AC261" s="396"/>
      <c r="AD261" s="396"/>
      <c r="AE261" s="396"/>
      <c r="AF261" s="396"/>
      <c r="AG261" s="396"/>
      <c r="AH261" s="396"/>
      <c r="AI261" s="396"/>
      <c r="AJ261" s="396"/>
      <c r="AK261" s="396"/>
      <c r="AL261" s="396"/>
      <c r="AM261" s="396"/>
      <c r="AN261" s="396"/>
      <c r="AO261" s="396"/>
      <c r="AP261" s="396"/>
      <c r="AQ261" s="396"/>
    </row>
    <row r="262" spans="1:81" ht="13.5" thickBot="1">
      <c r="A262" s="397" t="s">
        <v>231</v>
      </c>
      <c r="B262" s="399" t="s">
        <v>232</v>
      </c>
      <c r="C262" s="400"/>
      <c r="D262" s="400"/>
      <c r="E262" s="400"/>
      <c r="F262" s="400"/>
      <c r="G262" s="400"/>
      <c r="H262" s="400"/>
      <c r="I262" s="400"/>
      <c r="J262" s="400"/>
      <c r="K262" s="400"/>
      <c r="L262" s="401"/>
      <c r="M262" s="399" t="s">
        <v>233</v>
      </c>
      <c r="N262" s="400"/>
      <c r="O262" s="400"/>
      <c r="P262" s="400"/>
      <c r="Q262" s="400"/>
      <c r="R262" s="400"/>
      <c r="S262" s="400"/>
      <c r="T262" s="400"/>
      <c r="U262" s="400"/>
      <c r="V262" s="400"/>
      <c r="W262" s="401"/>
      <c r="X262" s="402" t="s">
        <v>234</v>
      </c>
      <c r="Y262" s="403"/>
      <c r="Z262" s="403"/>
      <c r="AA262" s="403"/>
      <c r="AB262" s="403"/>
      <c r="AC262" s="403"/>
      <c r="AD262" s="403"/>
      <c r="AE262" s="403"/>
      <c r="AF262" s="403"/>
      <c r="AG262" s="404"/>
      <c r="AH262" s="402" t="s">
        <v>235</v>
      </c>
      <c r="AI262" s="403"/>
      <c r="AJ262" s="403"/>
      <c r="AK262" s="403"/>
      <c r="AL262" s="403"/>
      <c r="AM262" s="403"/>
      <c r="AN262" s="403"/>
      <c r="AO262" s="403"/>
      <c r="AP262" s="404"/>
    </row>
    <row r="263" spans="1:81" ht="13.5" thickBot="1">
      <c r="A263" s="398"/>
      <c r="B263" s="408" t="s">
        <v>5</v>
      </c>
      <c r="C263" s="409"/>
      <c r="D263" s="409"/>
      <c r="E263" s="409"/>
      <c r="F263" s="409" t="s">
        <v>236</v>
      </c>
      <c r="G263" s="409"/>
      <c r="H263" s="409"/>
      <c r="I263" s="409"/>
      <c r="J263" s="409" t="s">
        <v>237</v>
      </c>
      <c r="K263" s="409"/>
      <c r="L263" s="185" t="s">
        <v>4</v>
      </c>
      <c r="M263" s="408" t="s">
        <v>5</v>
      </c>
      <c r="N263" s="409"/>
      <c r="O263" s="409"/>
      <c r="P263" s="409"/>
      <c r="Q263" s="409"/>
      <c r="R263" s="409" t="s">
        <v>236</v>
      </c>
      <c r="S263" s="409"/>
      <c r="T263" s="409"/>
      <c r="U263" s="409" t="s">
        <v>237</v>
      </c>
      <c r="V263" s="409"/>
      <c r="W263" s="186" t="s">
        <v>4</v>
      </c>
      <c r="X263" s="408" t="s">
        <v>5</v>
      </c>
      <c r="Y263" s="409"/>
      <c r="Z263" s="409"/>
      <c r="AA263" s="409"/>
      <c r="AB263" s="409"/>
      <c r="AC263" s="409" t="s">
        <v>236</v>
      </c>
      <c r="AD263" s="409"/>
      <c r="AE263" s="409"/>
      <c r="AF263" s="218" t="s">
        <v>237</v>
      </c>
      <c r="AG263" s="186" t="s">
        <v>4</v>
      </c>
      <c r="AH263" s="408" t="s">
        <v>5</v>
      </c>
      <c r="AI263" s="409"/>
      <c r="AJ263" s="409"/>
      <c r="AK263" s="409" t="s">
        <v>236</v>
      </c>
      <c r="AL263" s="409"/>
      <c r="AM263" s="409"/>
      <c r="AN263" s="409" t="s">
        <v>237</v>
      </c>
      <c r="AO263" s="409"/>
      <c r="AP263" s="186" t="s">
        <v>4</v>
      </c>
    </row>
    <row r="264" spans="1:81">
      <c r="A264" s="188" t="s">
        <v>296</v>
      </c>
      <c r="B264" s="759" t="str">
        <f>IF($AG$8=1,$E$8,IF($AG$10=1,$E$10,IF($AG$12=1,$E$12,IF($AG$14=1,$E$14,IF($AG$16=1,$E$16,"1st Place "&amp;$A264)))))</f>
        <v>Magnum 12 Blue</v>
      </c>
      <c r="C264" s="760"/>
      <c r="D264" s="760"/>
      <c r="E264" s="760"/>
      <c r="F264" s="761" t="str">
        <f>IF($AG$8=1,$E$9,IF($AG$10=1,$E$11,IF($AG$12=1,$E$13,IF($AG$14=1,$E$15,IF($AG$16=1,$E$17,"1st Place "&amp;$A264)))))</f>
        <v>fj2magnm4pm</v>
      </c>
      <c r="G264" s="761"/>
      <c r="H264" s="761"/>
      <c r="I264" s="761"/>
      <c r="J264" s="762">
        <f>IF($AG$8=1,$AA$8,IF($AG$10=1,$AA$10,IF($AG$12=1,$AA$12,IF($AG$14=1,$AA$14,IF($AG$16=1,$AA$16,0)))))</f>
        <v>0.46478873239436619</v>
      </c>
      <c r="K264" s="762"/>
      <c r="L264" s="763">
        <f>IF(AND(J264=0,J265=0,J266=0),0,IF(OR(AND(J264&gt;J265,J264&gt;J266),AND(J264=J265,J264=J266),AND(J264=J265,J264&gt;J266),AND(J264=J266,J264&gt;J265)),1,IF(OR(J264&gt;J265,J264&gt;J266,J264=J265,J264=J266),2,3)))</f>
        <v>2</v>
      </c>
      <c r="M264" s="759" t="str">
        <f>IF($AG$8=2,$E$8,IF($AG$10=2,$E$10,IF($AG$12=2,$E$12,IF($AG$14=2,$E$14,IF($AG$16=2,$E$16,"2nd Place "&amp;$A264)))))</f>
        <v>SC Midlands KP Garnet</v>
      </c>
      <c r="N264" s="760"/>
      <c r="O264" s="760"/>
      <c r="P264" s="760"/>
      <c r="Q264" s="760"/>
      <c r="R264" s="761" t="str">
        <f>IF($AG$8=2,$E$9,IF($AG$10=2,$E$11,IF($AG$12=2,$E$13,IF($AG$14=2,$E$15,IF($AG$16=2,$E$17,"2nd Place "&amp;$A264)))))</f>
        <v>fj1scmid2pm</v>
      </c>
      <c r="S264" s="761"/>
      <c r="T264" s="761"/>
      <c r="U264" s="762">
        <f>IF($AG$8=2,$AA$8,IF($AG$10=2,$AA$10,IF($AG$12=2,$AA$12,IF($AG$14=2,$AA$14,IF($AG$16=2,$AA$16,0)))))</f>
        <v>0.12820512820512819</v>
      </c>
      <c r="V264" s="762"/>
      <c r="W264" s="764">
        <f>IF(AND(J264=0,J265=0,J266=0),0,IF(OR(AND(U264&gt;U265,U264&gt;U266),AND(U264=U265,U264=U266),AND(U264=U265,U264&gt;U266),AND(U264=U266,U264&gt;U265)),1,IF(OR(U264&gt;U265,U264&gt;U266,U264=U265,U264=U266),2,3)))</f>
        <v>1</v>
      </c>
      <c r="X264" s="765" t="str">
        <f>IF($AG$8=3,$E$8,IF($AG$10=3,$E$10,IF($AG$12=3,$E$12,IF($AG$14=3,$E$14,IF($AG$16=3,$E$16,"3rd Place "&amp;$A264)))))</f>
        <v>Intense kids power col</v>
      </c>
      <c r="Y264" s="766"/>
      <c r="Z264" s="766"/>
      <c r="AA264" s="766"/>
      <c r="AB264" s="766"/>
      <c r="AC264" s="767" t="str">
        <f>IF($AG$8=3,$E$9,IF($AG$10=3,$E$11,IF($AG$12=3,$E$13,IF($AG$14=3,$E$15,IF($AG$16=3,$E$17,"3rd Place "&amp;$A264)))))</f>
        <v>fj2inten3pm</v>
      </c>
      <c r="AD264" s="767"/>
      <c r="AE264" s="767"/>
      <c r="AF264" s="768">
        <f>IF($AG$8=3,$AA$8,IF($AG$10=3,$AA$10,IF($AG$12=3,$AA$12,IF($AG$14=3,$AA$14,IF($AG$16=3,$AA$16,0)))))</f>
        <v>-0.11428571428571428</v>
      </c>
      <c r="AG264" s="764">
        <f>IF(AND(J264=0,J265=0,J266=0),0,IF(OR(AND(AF264&gt;AF265,AF264&gt;AF266),AND(AF264=AF265,AF264=AF266),AND(AF264=AF265,AF264&gt;AF266),AND(AF264=AF266,AF264&gt;AF265)),1,IF(OR(AF264&gt;AF265,AF264&gt;AF266,AF264=AF265,AF264=AF266),2,3)))</f>
        <v>1</v>
      </c>
      <c r="AH264" s="759" t="str">
        <f>IF($AG$8=4,$E$8,IF($AG$10=4,$E$10,IF($AG$12=4,$E$12,IF($AG$14=4,$E$14,IF($AG$16=4,$E$16,"4th Place "&amp;$A264)))))</f>
        <v>Foothills Skylar</v>
      </c>
      <c r="AI264" s="760"/>
      <c r="AJ264" s="760"/>
      <c r="AK264" s="761" t="str">
        <f>IF($AG$8=4,$E$9,IF($AG$10=4,$E$11,IF($AG$12=4,$E$13,IF($AG$14=4,$E$15,IF($AG$16=4,$E$17,"4th Place "&amp;$A264)))))</f>
        <v>fj2footh3pm</v>
      </c>
      <c r="AL264" s="761"/>
      <c r="AM264" s="761"/>
      <c r="AN264" s="762">
        <f>IF($AG$8=4,$AA$8,IF($AG$10=4,$AA$10,IF($AG$12=4,$AA$12,IF($AG$14=4,$AA$14,IF($AG$16=4,$AA$16,0)))))</f>
        <v>-0.45454545454545453</v>
      </c>
      <c r="AO264" s="762"/>
      <c r="AP264" s="764">
        <f>IF(AND(J264=0,J265=0,J266=0),0,IF(OR(AND(AN264&gt;AN265,AN264&gt;AN266),AND(AN264=AN265,AN264=AN266),AND(AN264=AN265,AN264&gt;AN266),AND(AN264=AN266,AN264&gt;AN265)),1,IF(OR(AN264&gt;AN265,AN264&gt;AN266,AN264=AN265,AN264=AN266),2,3)))</f>
        <v>3</v>
      </c>
    </row>
    <row r="265" spans="1:81">
      <c r="A265" s="188" t="s">
        <v>297</v>
      </c>
      <c r="B265" s="769" t="str">
        <f>IF($AG$93=1,$E$93,IF($AG$95=1,$E$95,IF($AG$97=1,$E$97,IF($AG$99=1,$E$99,IF($AG$101=1,$E$101,"1st Place "&amp;$A265)))))</f>
        <v>Magnum Aiken 12 Yellow</v>
      </c>
      <c r="C265" s="770"/>
      <c r="D265" s="770"/>
      <c r="E265" s="770"/>
      <c r="F265" s="771" t="str">
        <f>IF($AG$93=1,$E$94,IF($AG$95=1,$E$96,IF($AG$97=1,$E$98,IF($AG$99=1,$E$100,IF($AG$101=1,$E$102,"1st Place "&amp;$A265)))))</f>
        <v>fj2magnm5pm</v>
      </c>
      <c r="G265" s="771"/>
      <c r="H265" s="771"/>
      <c r="I265" s="771"/>
      <c r="J265" s="772">
        <f>IF($AG$93=1,$AA$93,IF($AG$95=1,$AA$95,IF($AG$97=1,$AA$97,IF($AG$99=1,$AA$99,IF($AG$101=1,$AA$101,0)))))</f>
        <v>0.70129870129870131</v>
      </c>
      <c r="K265" s="772"/>
      <c r="L265" s="773">
        <f>IF(AND(J264=0,J265=0,J266=0),0,IF(OR(AND(J265&gt;J264,J265&gt;J266),AND(J265=J266,J265&gt;J264)),1,IF(OR(J265&gt;J264,J265&gt;J266,AND(J265=J264,J265=J266),J265=J266),2,3)))</f>
        <v>1</v>
      </c>
      <c r="M265" s="769" t="str">
        <f>IF($AG$93=2,$E$93,IF($AG$95=2,$E$95,IF($AG$97=2,$E$97,IF($AG$99=2,$E$99,IF($AG$101=2,$E$101,"2nd Place "&amp;$A265)))))</f>
        <v>Foothills Vanessa</v>
      </c>
      <c r="N265" s="770"/>
      <c r="O265" s="770"/>
      <c r="P265" s="770"/>
      <c r="Q265" s="770"/>
      <c r="R265" s="771" t="str">
        <f>IF($AG$93=2,$E$94,IF($AG$95=2,$E$96,IF($AG$97=2,$E$98,IF($AG$99=2,$E$100,IF($AG$101=2,$E$102,"2nd Place "&amp;$A265)))))</f>
        <v>fj2footh2pm</v>
      </c>
      <c r="S265" s="771"/>
      <c r="T265" s="771"/>
      <c r="U265" s="772">
        <f>IF($AG$93=2,$AA$93,IF($AG$95=2,$AA$95,IF($AG$97=2,$AA$97,IF($AG$99=2,$AA$99,IF($AG$101=2,$AA$101,0)))))</f>
        <v>-0.2638888888888889</v>
      </c>
      <c r="V265" s="772"/>
      <c r="W265" s="774">
        <f>IF(AND(J264=0,J265=0,J266=0),0,IF(OR(AND(U265&gt;U264,U265&gt;U266),AND(U265=U266,U265&gt;U264)),1,IF(OR(U265&gt;U264,U265&gt;U266,AND(U265=U264,U265=U266),U265=U266),2,3)))</f>
        <v>3</v>
      </c>
      <c r="X265" s="769" t="str">
        <f>IF($AG$93=3,$E$93,IF($AG$95=3,$E$95,IF($AG$97=3,$E$97,IF($AG$99=3,$E$99,IF($AG$101=3,$E$101,"3rd Place "&amp;$A265)))))</f>
        <v>SC Midlands KP Black</v>
      </c>
      <c r="Y265" s="770"/>
      <c r="Z265" s="770"/>
      <c r="AA265" s="770"/>
      <c r="AB265" s="770"/>
      <c r="AC265" s="771" t="str">
        <f>IF($AG$93=3,$E$94,IF($AG$95=3,$E$96,IF($AG$97=3,$E$98,IF($AG$99=3,$E$100,IF($AG$101=3,$E$102,"3rd Place "&amp;$A265)))))</f>
        <v>fj1scmid1pm</v>
      </c>
      <c r="AD265" s="771"/>
      <c r="AE265" s="771"/>
      <c r="AF265" s="775">
        <f>IF($AG$93=3,$AA$93,IF($AG$95=3,$AA$95,IF($AG$97=3,$AA$97,IF($AG$99=3,$AA$99,IF($AG$101=3,$AA$101,0)))))</f>
        <v>-0.2</v>
      </c>
      <c r="AG265" s="774">
        <f>IF(AND(J264=0,J265=0,J266=0),0,IF(OR(AND(AF265&gt;AF264,AF265&gt;AF266),AND(AF265=AF266,AF265&gt;AF264)),1,IF(OR(AF265&gt;AF264,AF265&gt;AF266,AND(AF265=AF264,AF265=AF266),AF265=AF266),2,3)))</f>
        <v>3</v>
      </c>
      <c r="AH265" s="769" t="str">
        <f>IF($AG$93=4,$E$93,IF($AG$95=4,$E$95,IF($AG$97=4,$E$97,IF($AG$99=4,$E$99,IF($AG$101=4,$E$101,"4th Place "&amp;$A265)))))</f>
        <v>SC Midlands KP Silver</v>
      </c>
      <c r="AI265" s="770"/>
      <c r="AJ265" s="770"/>
      <c r="AK265" s="771" t="str">
        <f>IF($AG$93=4,$E$94,IF($AG$95=4,$E$96,IF($AG$97=4,$E$98,IF($AG$99=4,$E$100,IF($AG$101=4,$E$102,"4th Place "&amp;$A265)))))</f>
        <v>fj1scmid4pm</v>
      </c>
      <c r="AL265" s="771"/>
      <c r="AM265" s="771"/>
      <c r="AN265" s="772">
        <f>IF($AG$93=4,$AA$93,IF($AG$95=4,$AA$95,IF($AG$97=4,$AA$97,IF($AG$99=4,$AA$99,IF($AG$101=4,$AA$101,0)))))</f>
        <v>-0.33333333333333331</v>
      </c>
      <c r="AO265" s="772"/>
      <c r="AP265" s="774">
        <f>IF(AND(J264=0,J265=0,J266=0),0,IF(OR(AND(AN265&gt;AN264,AN265&gt;AN266),AND(AN265=AN266,AN265&gt;AN264)),1,IF(OR(AN265&gt;AN264,AN265&gt;AN266,AND(AN265=AN264,AN265=AN266),AN265=AN266),2,3)))</f>
        <v>2</v>
      </c>
    </row>
    <row r="266" spans="1:81" ht="13.5" thickBot="1">
      <c r="A266" s="199" t="s">
        <v>298</v>
      </c>
      <c r="B266" s="776" t="str">
        <f>IF($AG$178=1,$E$178,IF($AG$180=1,$E$180,IF($AG$182=1,$E$182,IF($AG$184=1,$E$184,IF($AG$186=1,$E$186,"1st Place "&amp;$A266)))))</f>
        <v>USA 12 Purple</v>
      </c>
      <c r="C266" s="777"/>
      <c r="D266" s="777"/>
      <c r="E266" s="777"/>
      <c r="F266" s="778" t="str">
        <f>IF($AG$178=1,$E$179,IF($AG$180=1,$E$181,IF($AG$182=1,$E$183,IF($AG$184=1,$E$185,IF($AG$186=1,$E$187,"1st Place "&amp;$A266)))))</f>
        <v>fj2unsel2cr</v>
      </c>
      <c r="G266" s="778"/>
      <c r="H266" s="778"/>
      <c r="I266" s="778"/>
      <c r="J266" s="779">
        <f>IF($AG$178=1,$AA$178,IF($AG$180=1,$AA$180,IF($AG$182=1,$AA$182,IF($AG$184=1,$AA$184,IF($AG$186=1,$AA$186,0)))))</f>
        <v>0.25</v>
      </c>
      <c r="K266" s="779"/>
      <c r="L266" s="780">
        <f>IF(AND(J264=0,J265=0,J266=0),0,IF(AND(J266&gt;J264,J266&gt;J265),1,IF(OR(J266&gt;J264,J266&gt;J265),2,3)))</f>
        <v>3</v>
      </c>
      <c r="M266" s="776" t="str">
        <f>IF($AG$178=2,$E$178,IF($AG$180=2,$E$180,IF($AG$182=2,$E$182,IF($AG$184=2,$E$184,IF($AG$186=2,$E$186,"2nd Place "&amp;$A266)))))</f>
        <v>Magnum 11 Black</v>
      </c>
      <c r="N266" s="777"/>
      <c r="O266" s="777"/>
      <c r="P266" s="777"/>
      <c r="Q266" s="777"/>
      <c r="R266" s="778" t="str">
        <f>IF($AG$178=2,$E$179,IF($AG$180=2,$E$181,IF($AG$182=2,$E$183,IF($AG$184=2,$E$185,IF($AG$186=2,$E$187,"2nd Place "&amp;$A266)))))</f>
        <v>fj1magnm1pm</v>
      </c>
      <c r="S266" s="778"/>
      <c r="T266" s="778"/>
      <c r="U266" s="779">
        <f>IF($AG$178=2,$AA$178,IF($AG$180=2,$AA$180,IF($AG$182=2,$AA$182,IF($AG$184=2,$AA$184,IF($AG$186=2,$AA$186,0)))))</f>
        <v>-6.4935064935064929E-2</v>
      </c>
      <c r="V266" s="779"/>
      <c r="W266" s="781">
        <f>IF(AND(J264=0,J265=0,J266=0),0,IF(AND(U266&gt;U264,U266&gt;U265),1,IF(OR(U266&gt;U264,U266&gt;U265),2,3)))</f>
        <v>2</v>
      </c>
      <c r="X266" s="776" t="str">
        <f>IF($AG$178=3,$E$178,IF($AG$180=3,$E$180,IF($AG$182=3,$E$182,IF($AG$184=3,$E$184,IF($AG$186=3,$E$186,"3rd Place "&amp;$A266)))))</f>
        <v>SC Midlands KP Gray</v>
      </c>
      <c r="Y266" s="777"/>
      <c r="Z266" s="777"/>
      <c r="AA266" s="777"/>
      <c r="AB266" s="777"/>
      <c r="AC266" s="778" t="str">
        <f>IF($AG$178=3,$E$179,IF($AG$180=3,$E$181,IF($AG$182=3,$E$183,IF($AG$184=3,$E$185,IF($AG$186=3,$E$187,"3rd Place "&amp;$A266)))))</f>
        <v>fj2scmid4pm</v>
      </c>
      <c r="AD266" s="778"/>
      <c r="AE266" s="778"/>
      <c r="AF266" s="782">
        <f>IF($AG$178=3,$AA$178,IF($AG$180=3,$AA$180,IF($AG$182=3,$AA$182,IF($AG$184=3,$AA$184,IF($AG$186=3,$AA$186,0)))))</f>
        <v>-0.18823529411764706</v>
      </c>
      <c r="AG266" s="781">
        <f>IF(AND(J264=0,J265=0,J266=0),0,IF(AND(AF266&gt;AF264,AF266&gt;AF265),1,IF(OR(AF266&gt;AF264,AF266&gt;AF265),2,3)))</f>
        <v>2</v>
      </c>
      <c r="AH266" s="783"/>
      <c r="AI266" s="784"/>
      <c r="AJ266" s="784"/>
      <c r="AK266" s="784"/>
      <c r="AL266" s="784"/>
      <c r="AM266" s="784"/>
      <c r="AN266" s="785"/>
      <c r="AO266" s="785"/>
      <c r="AP266" s="786"/>
    </row>
    <row r="267" spans="1:81" ht="13.5" thickBot="1">
      <c r="A267" s="787" t="s">
        <v>310</v>
      </c>
      <c r="B267" s="788" t="s">
        <v>1253</v>
      </c>
      <c r="C267" s="789"/>
      <c r="D267" s="789"/>
      <c r="E267" s="789"/>
      <c r="F267" s="789"/>
      <c r="G267" s="789"/>
      <c r="H267" s="789"/>
      <c r="I267" s="789"/>
      <c r="J267" s="789"/>
      <c r="K267" s="789"/>
      <c r="L267" s="790"/>
      <c r="M267" s="402" t="s">
        <v>1254</v>
      </c>
      <c r="N267" s="403"/>
      <c r="O267" s="403"/>
      <c r="P267" s="403"/>
      <c r="Q267" s="403"/>
      <c r="R267" s="403"/>
      <c r="S267" s="403"/>
      <c r="T267" s="403"/>
      <c r="U267" s="403"/>
      <c r="V267" s="403"/>
      <c r="W267" s="404"/>
      <c r="X267" s="402" t="s">
        <v>1255</v>
      </c>
      <c r="Y267" s="403"/>
      <c r="Z267" s="403"/>
      <c r="AA267" s="403"/>
      <c r="AB267" s="403"/>
      <c r="AC267" s="403"/>
      <c r="AD267" s="403"/>
      <c r="AE267" s="403"/>
      <c r="AF267" s="403"/>
      <c r="AG267" s="404"/>
      <c r="AH267" s="402" t="s">
        <v>1256</v>
      </c>
      <c r="AI267" s="403"/>
      <c r="AJ267" s="403"/>
      <c r="AK267" s="403"/>
      <c r="AL267" s="403"/>
      <c r="AM267" s="403"/>
      <c r="AN267" s="403"/>
      <c r="AO267" s="403"/>
      <c r="AP267" s="404"/>
    </row>
    <row r="268" spans="1:81" ht="13.5" thickBot="1">
      <c r="A268" s="791"/>
      <c r="B268" s="792" t="s">
        <v>5</v>
      </c>
      <c r="C268" s="793"/>
      <c r="D268" s="793"/>
      <c r="E268" s="793"/>
      <c r="F268" s="793"/>
      <c r="G268" s="793"/>
      <c r="H268" s="794"/>
      <c r="I268" s="792" t="s">
        <v>6</v>
      </c>
      <c r="J268" s="793"/>
      <c r="K268" s="793"/>
      <c r="L268" s="794"/>
      <c r="M268" s="590" t="s">
        <v>5</v>
      </c>
      <c r="N268" s="591"/>
      <c r="O268" s="591"/>
      <c r="P268" s="591"/>
      <c r="Q268" s="591"/>
      <c r="R268" s="591"/>
      <c r="S268" s="592"/>
      <c r="T268" s="590" t="s">
        <v>6</v>
      </c>
      <c r="U268" s="591"/>
      <c r="V268" s="591"/>
      <c r="W268" s="592"/>
      <c r="X268" s="590" t="s">
        <v>5</v>
      </c>
      <c r="Y268" s="591"/>
      <c r="Z268" s="591"/>
      <c r="AA268" s="591"/>
      <c r="AB268" s="591"/>
      <c r="AC268" s="591"/>
      <c r="AD268" s="591"/>
      <c r="AE268" s="592"/>
      <c r="AF268" s="590" t="s">
        <v>6</v>
      </c>
      <c r="AG268" s="592"/>
      <c r="AH268" s="591" t="s">
        <v>5</v>
      </c>
      <c r="AI268" s="591"/>
      <c r="AJ268" s="591"/>
      <c r="AK268" s="591"/>
      <c r="AL268" s="591"/>
      <c r="AM268" s="592"/>
      <c r="AN268" s="590" t="s">
        <v>6</v>
      </c>
      <c r="AO268" s="591"/>
      <c r="AP268" s="592"/>
    </row>
    <row r="269" spans="1:81">
      <c r="A269" s="795" t="s">
        <v>1257</v>
      </c>
      <c r="B269" s="796" t="str">
        <f>IF(L264=1,B264,IF(L265=1,B265,IF(L266=1,B266,"#1 1st Place")))</f>
        <v>Magnum Aiken 12 Yellow</v>
      </c>
      <c r="C269" s="797"/>
      <c r="D269" s="797"/>
      <c r="E269" s="797"/>
      <c r="F269" s="797"/>
      <c r="G269" s="797"/>
      <c r="H269" s="797"/>
      <c r="I269" s="798" t="str">
        <f>IF(L264=1,F264,IF(L265=1,F265,IF(L266=1,F266,"#1 1st Place")))</f>
        <v>fj2magnm5pm</v>
      </c>
      <c r="J269" s="798"/>
      <c r="K269" s="798"/>
      <c r="L269" s="799"/>
      <c r="M269" s="800" t="str">
        <f>IF(W264=1,M264,IF(W265=1,M265,IF(W266=1,M266,"#1 2nd Place")))</f>
        <v>SC Midlands KP Garnet</v>
      </c>
      <c r="N269" s="801"/>
      <c r="O269" s="801"/>
      <c r="P269" s="801"/>
      <c r="Q269" s="801"/>
      <c r="R269" s="801"/>
      <c r="S269" s="801"/>
      <c r="T269" s="802" t="str">
        <f>IF(W264=1,R264,IF(W265=1,R265,IF(W266=1,R266,"#1 2nd Place")))</f>
        <v>fj1scmid2pm</v>
      </c>
      <c r="U269" s="802"/>
      <c r="V269" s="802"/>
      <c r="W269" s="803"/>
      <c r="X269" s="800" t="str">
        <f>IF(AG264=1,X264,IF(AG265=1,X265,IF(AG266=1,X266,"#1 3rd Place")))</f>
        <v>Intense kids power col</v>
      </c>
      <c r="Y269" s="801"/>
      <c r="Z269" s="801"/>
      <c r="AA269" s="801"/>
      <c r="AB269" s="801"/>
      <c r="AC269" s="801"/>
      <c r="AD269" s="801"/>
      <c r="AE269" s="801"/>
      <c r="AF269" s="802" t="str">
        <f>IF(AG264=1,AC264,IF(AG265=1,AC265,IF(AG266=1,AC266,"#1 3rd Place")))</f>
        <v>fj2inten3pm</v>
      </c>
      <c r="AG269" s="803"/>
      <c r="AH269" s="804" t="str">
        <f>IF(AP264=1,AH264,IF(AP265=1,AH265,IF(AP266=1,AH266,"#1 4th Place")))</f>
        <v>#1 4th Place</v>
      </c>
      <c r="AI269" s="801"/>
      <c r="AJ269" s="801"/>
      <c r="AK269" s="801"/>
      <c r="AL269" s="801"/>
      <c r="AM269" s="801"/>
      <c r="AN269" s="802" t="str">
        <f>IF(AP264=1,AK264,IF(AP265=1,AK265,IF(AP266=1,AK266,"#1 4th Place")))</f>
        <v>#1 4th Place</v>
      </c>
      <c r="AO269" s="802"/>
      <c r="AP269" s="803"/>
    </row>
    <row r="270" spans="1:81">
      <c r="A270" s="795" t="s">
        <v>1258</v>
      </c>
      <c r="B270" s="805" t="str">
        <f>IF(L264=2,B264,IF(L265=2,B265,IF(L266=2,B266,"#2 1st Place")))</f>
        <v>Magnum 12 Blue</v>
      </c>
      <c r="C270" s="806"/>
      <c r="D270" s="806"/>
      <c r="E270" s="806"/>
      <c r="F270" s="806"/>
      <c r="G270" s="806"/>
      <c r="H270" s="806"/>
      <c r="I270" s="807" t="str">
        <f>IF(L264=2,F264,IF(L265=2,F265,IF(L266=2,F266,"#2 1st Place")))</f>
        <v>fj2magnm4pm</v>
      </c>
      <c r="J270" s="807"/>
      <c r="K270" s="807"/>
      <c r="L270" s="808"/>
      <c r="M270" s="809" t="str">
        <f>IF(W264=2,M264,IF(W265=2,M265,IF(W266=2,M266,"#2 2nd Place")))</f>
        <v>Magnum 11 Black</v>
      </c>
      <c r="N270" s="810"/>
      <c r="O270" s="810"/>
      <c r="P270" s="810"/>
      <c r="Q270" s="810"/>
      <c r="R270" s="810"/>
      <c r="S270" s="810"/>
      <c r="T270" s="811" t="str">
        <f>IF(W264=2,R264,IF(W265=2,R265,IF(W266=2,R266,"#2 2nd Place")))</f>
        <v>fj1magnm1pm</v>
      </c>
      <c r="U270" s="811"/>
      <c r="V270" s="811"/>
      <c r="W270" s="812"/>
      <c r="X270" s="809" t="str">
        <f>IF(AG264=2,X264,IF(AG265=2,X265,IF(AG266=2,X266,"#2 3rd Place")))</f>
        <v>SC Midlands KP Gray</v>
      </c>
      <c r="Y270" s="810"/>
      <c r="Z270" s="810"/>
      <c r="AA270" s="810"/>
      <c r="AB270" s="810"/>
      <c r="AC270" s="810"/>
      <c r="AD270" s="810"/>
      <c r="AE270" s="810"/>
      <c r="AF270" s="811" t="str">
        <f>IF(AG264=2,AC264,IF(AG265=2,AC265,IF(AG266=2,AC266,"#2 3rd Place")))</f>
        <v>fj2scmid4pm</v>
      </c>
      <c r="AG270" s="812"/>
      <c r="AH270" s="813" t="str">
        <f>IF(AP264=2,AH264,IF(AP265=2,AH265,IF(AP266=2,AH266,"#2 4th Place")))</f>
        <v>SC Midlands KP Silver</v>
      </c>
      <c r="AI270" s="810"/>
      <c r="AJ270" s="810"/>
      <c r="AK270" s="810"/>
      <c r="AL270" s="810"/>
      <c r="AM270" s="810"/>
      <c r="AN270" s="811" t="str">
        <f>IF(AP264=2,AK264,IF(AP265=2,AK265,IF(AP266=2,AK266,"#2 4th Place")))</f>
        <v>fj1scmid4pm</v>
      </c>
      <c r="AO270" s="811"/>
      <c r="AP270" s="812"/>
    </row>
    <row r="271" spans="1:81" s="46" customFormat="1" ht="13.5" thickBot="1">
      <c r="A271" s="814" t="s">
        <v>1259</v>
      </c>
      <c r="B271" s="593" t="str">
        <f>IF(L264=3,B264,IF(L265=3,B265,IF(L266=3,B266,"#3 1st Place")))</f>
        <v>USA 12 Purple</v>
      </c>
      <c r="C271" s="594"/>
      <c r="D271" s="594"/>
      <c r="E271" s="594"/>
      <c r="F271" s="594"/>
      <c r="G271" s="594"/>
      <c r="H271" s="594"/>
      <c r="I271" s="595" t="str">
        <f>IF(L264=3,F264,IF(L265=3,F265,IF(L266=3,F266,"#3 1st Place")))</f>
        <v>fj2unsel2cr</v>
      </c>
      <c r="J271" s="595"/>
      <c r="K271" s="595"/>
      <c r="L271" s="596"/>
      <c r="M271" s="593" t="str">
        <f>IF(W264=3,M264,IF(W265=3,M265,IF(W266=3,M266,"#3 2nd Place")))</f>
        <v>Foothills Vanessa</v>
      </c>
      <c r="N271" s="594"/>
      <c r="O271" s="594"/>
      <c r="P271" s="594"/>
      <c r="Q271" s="594"/>
      <c r="R271" s="594"/>
      <c r="S271" s="594"/>
      <c r="T271" s="595" t="str">
        <f>IF(W264=3,R264,IF(W265=3,R265,IF(W266=3,R266,"#3 2nd Place")))</f>
        <v>fj2footh2pm</v>
      </c>
      <c r="U271" s="595"/>
      <c r="V271" s="595"/>
      <c r="W271" s="596"/>
      <c r="X271" s="593" t="str">
        <f>IF(AG264=3,X264,IF(AG265=3,X265,IF(AG266=3,X266,"#3 3rd Place")))</f>
        <v>SC Midlands KP Black</v>
      </c>
      <c r="Y271" s="594"/>
      <c r="Z271" s="594"/>
      <c r="AA271" s="594"/>
      <c r="AB271" s="594"/>
      <c r="AC271" s="594"/>
      <c r="AD271" s="594"/>
      <c r="AE271" s="594"/>
      <c r="AF271" s="595" t="str">
        <f>IF(AG264=3,AC264,IF(AG265=3,AC265,IF(AG266=3,AC266,"#3 3rd Place")))</f>
        <v>fj1scmid1pm</v>
      </c>
      <c r="AG271" s="596"/>
      <c r="AH271" s="815"/>
      <c r="AI271" s="816"/>
      <c r="AJ271" s="816"/>
      <c r="AK271" s="816"/>
      <c r="AL271" s="816"/>
      <c r="AM271" s="816"/>
      <c r="AN271" s="816"/>
      <c r="AO271" s="816"/>
      <c r="AP271" s="817"/>
      <c r="AW271" s="39"/>
      <c r="AX271" s="3"/>
      <c r="AY271" s="3"/>
      <c r="AZ271" s="3"/>
      <c r="BA271" s="3"/>
    </row>
    <row r="272" spans="1:81" s="46" customFormat="1">
      <c r="A272" s="105"/>
      <c r="B272" s="205"/>
      <c r="C272" s="205"/>
      <c r="D272" s="205"/>
      <c r="E272" s="205"/>
      <c r="F272" s="205"/>
      <c r="G272" s="205"/>
      <c r="H272" s="205"/>
      <c r="I272" s="205"/>
      <c r="J272" s="205"/>
      <c r="K272" s="205"/>
      <c r="L272" s="205"/>
      <c r="M272" s="206"/>
      <c r="N272" s="206"/>
      <c r="O272" s="206"/>
      <c r="P272" s="206"/>
      <c r="Q272" s="206"/>
      <c r="R272" s="206"/>
      <c r="S272" s="206"/>
      <c r="T272" s="206"/>
      <c r="U272" s="206"/>
      <c r="V272" s="206"/>
      <c r="W272" s="206"/>
      <c r="AW272" s="39"/>
      <c r="AX272" s="3"/>
      <c r="AY272" s="3"/>
      <c r="AZ272" s="3"/>
      <c r="BA272" s="3"/>
    </row>
    <row r="273" spans="1:56" ht="15.75">
      <c r="A273" s="597" t="s">
        <v>1215</v>
      </c>
      <c r="B273" s="597"/>
      <c r="C273" s="597"/>
      <c r="D273" s="597"/>
      <c r="E273" s="597"/>
      <c r="F273" s="597"/>
      <c r="G273" s="597"/>
      <c r="H273" s="597"/>
      <c r="I273" s="597"/>
      <c r="J273" s="597"/>
      <c r="K273" s="597"/>
      <c r="L273" s="597"/>
      <c r="M273" s="597"/>
      <c r="N273" s="597"/>
      <c r="O273" s="597"/>
      <c r="P273" s="597"/>
      <c r="Q273" s="597"/>
      <c r="R273" s="597"/>
      <c r="S273" s="597"/>
      <c r="T273" s="597"/>
      <c r="U273" s="597"/>
      <c r="V273" s="597"/>
      <c r="W273" s="597"/>
      <c r="X273" s="597"/>
      <c r="Y273" s="597"/>
      <c r="Z273" s="597"/>
      <c r="AA273" s="597"/>
      <c r="AB273" s="597"/>
      <c r="AC273" s="597"/>
      <c r="AD273" s="597"/>
      <c r="AE273" s="597"/>
      <c r="AF273" s="597"/>
      <c r="AG273" s="597"/>
      <c r="AH273" s="597"/>
      <c r="AI273" s="597"/>
      <c r="AJ273" s="597"/>
      <c r="AK273" s="597"/>
      <c r="AL273" s="597"/>
      <c r="AM273" s="597"/>
      <c r="AN273" s="597"/>
      <c r="AO273" s="597"/>
      <c r="AP273" s="597"/>
      <c r="AQ273" s="597"/>
      <c r="AS273" s="598"/>
      <c r="AT273" s="598"/>
      <c r="AU273" s="598"/>
    </row>
    <row r="274" spans="1:56" ht="36" customHeight="1">
      <c r="A274" s="599" t="s">
        <v>1216</v>
      </c>
      <c r="B274" s="600"/>
      <c r="C274" s="600"/>
      <c r="D274" s="600"/>
      <c r="E274" s="600"/>
      <c r="F274" s="600"/>
      <c r="G274" s="600"/>
      <c r="H274" s="600"/>
      <c r="I274" s="600"/>
      <c r="J274" s="600"/>
      <c r="K274" s="600"/>
      <c r="L274" s="600"/>
      <c r="M274" s="600"/>
      <c r="N274" s="600"/>
      <c r="O274" s="600"/>
      <c r="P274" s="600"/>
      <c r="Q274" s="600"/>
      <c r="R274" s="600"/>
      <c r="S274" s="600"/>
      <c r="T274" s="600"/>
      <c r="U274" s="600"/>
      <c r="V274" s="600"/>
      <c r="W274" s="600"/>
      <c r="X274" s="600"/>
      <c r="Y274" s="600"/>
      <c r="Z274" s="600"/>
      <c r="AA274" s="600"/>
      <c r="AB274" s="600"/>
      <c r="AC274" s="600"/>
      <c r="AD274" s="600"/>
      <c r="AE274" s="600"/>
      <c r="AF274" s="600"/>
      <c r="AG274" s="600"/>
      <c r="AH274" s="600"/>
      <c r="AI274" s="600"/>
      <c r="AJ274" s="600"/>
      <c r="AK274" s="600"/>
      <c r="AL274" s="600"/>
      <c r="AM274" s="600"/>
      <c r="AN274" s="600"/>
      <c r="AO274" s="600"/>
      <c r="AP274" s="600"/>
      <c r="AQ274" s="600"/>
      <c r="AR274" s="600"/>
    </row>
    <row r="275" spans="1:56">
      <c r="A275" s="601" t="s">
        <v>1260</v>
      </c>
      <c r="B275" s="601"/>
      <c r="C275" s="601"/>
      <c r="D275" s="601"/>
      <c r="E275" s="601"/>
      <c r="F275" s="601"/>
      <c r="G275" s="601"/>
      <c r="H275" s="601"/>
      <c r="I275" s="601"/>
      <c r="J275" s="601"/>
      <c r="K275" s="601"/>
      <c r="L275" s="601"/>
      <c r="M275" s="601"/>
      <c r="N275" s="601"/>
      <c r="O275" s="601"/>
      <c r="P275" s="601"/>
      <c r="Q275" s="601"/>
      <c r="R275" s="601"/>
      <c r="S275" s="601"/>
      <c r="T275" s="601"/>
      <c r="U275" s="601"/>
      <c r="V275" s="601"/>
      <c r="W275" s="601"/>
      <c r="X275" s="601"/>
      <c r="Y275" s="601"/>
      <c r="Z275" s="601"/>
      <c r="AA275" s="601"/>
      <c r="AB275" s="601"/>
      <c r="AC275" s="601"/>
      <c r="AD275" s="601"/>
      <c r="AE275" s="601"/>
      <c r="AF275" s="601"/>
      <c r="AG275" s="601"/>
      <c r="AH275" s="601"/>
      <c r="AI275" s="601"/>
      <c r="AJ275" s="601"/>
      <c r="AK275" s="601"/>
      <c r="AL275" s="601"/>
      <c r="AM275" s="601"/>
      <c r="AN275" s="601"/>
      <c r="AO275" s="601"/>
      <c r="AP275" s="601"/>
      <c r="AQ275" s="601"/>
      <c r="AR275" s="601"/>
    </row>
    <row r="276" spans="1:56">
      <c r="A276" s="601"/>
      <c r="B276" s="601"/>
      <c r="C276" s="601"/>
      <c r="D276" s="601"/>
      <c r="E276" s="601"/>
      <c r="F276" s="601"/>
      <c r="G276" s="601"/>
      <c r="H276" s="601"/>
      <c r="I276" s="601"/>
      <c r="J276" s="601"/>
      <c r="K276" s="601"/>
      <c r="L276" s="601"/>
      <c r="M276" s="601"/>
      <c r="N276" s="601"/>
      <c r="O276" s="601"/>
      <c r="P276" s="601"/>
      <c r="Q276" s="601"/>
      <c r="R276" s="601"/>
      <c r="S276" s="601"/>
      <c r="T276" s="601"/>
      <c r="U276" s="601"/>
      <c r="V276" s="601"/>
      <c r="W276" s="601"/>
      <c r="X276" s="601"/>
      <c r="Y276" s="601"/>
      <c r="Z276" s="601"/>
      <c r="AA276" s="601"/>
      <c r="AB276" s="601"/>
      <c r="AC276" s="601"/>
      <c r="AD276" s="601"/>
      <c r="AE276" s="601"/>
      <c r="AF276" s="601"/>
      <c r="AG276" s="601"/>
      <c r="AH276" s="601"/>
      <c r="AI276" s="601"/>
      <c r="AJ276" s="601"/>
      <c r="AK276" s="601"/>
      <c r="AL276" s="601"/>
      <c r="AM276" s="601"/>
      <c r="AN276" s="601"/>
      <c r="AO276" s="601"/>
      <c r="AP276" s="601"/>
      <c r="AQ276" s="601"/>
      <c r="AR276" s="601"/>
    </row>
    <row r="277" spans="1:56">
      <c r="A277" s="602" t="s">
        <v>1217</v>
      </c>
      <c r="B277" s="602"/>
      <c r="C277" s="602"/>
      <c r="D277" s="602"/>
      <c r="E277" s="602"/>
      <c r="F277" s="602"/>
      <c r="G277" s="602"/>
      <c r="H277" s="602"/>
      <c r="I277" s="602"/>
      <c r="J277" s="602"/>
      <c r="K277" s="602"/>
      <c r="L277" s="602"/>
      <c r="M277" s="603"/>
    </row>
    <row r="278" spans="1:56">
      <c r="C278" s="46"/>
      <c r="D278" s="46"/>
      <c r="E278" s="46"/>
      <c r="M278" s="603"/>
    </row>
    <row r="279" spans="1:56">
      <c r="A279" s="394" t="s">
        <v>1218</v>
      </c>
      <c r="B279" s="394"/>
      <c r="C279" s="394"/>
      <c r="D279" s="394"/>
      <c r="E279" s="394"/>
      <c r="F279" s="394"/>
      <c r="G279" s="394"/>
      <c r="H279" s="394"/>
      <c r="I279" s="394"/>
      <c r="J279" s="394"/>
      <c r="K279" s="394"/>
      <c r="L279" s="394"/>
      <c r="M279" s="394"/>
      <c r="N279" s="394"/>
      <c r="O279" s="394"/>
      <c r="P279" s="394"/>
      <c r="Q279" s="39"/>
      <c r="S279" s="394" t="s">
        <v>1219</v>
      </c>
      <c r="T279" s="394"/>
      <c r="U279" s="394"/>
      <c r="V279" s="394"/>
      <c r="W279" s="394"/>
      <c r="X279" s="394"/>
      <c r="Y279" s="394"/>
      <c r="Z279" s="394"/>
      <c r="AA279" s="394"/>
      <c r="AB279" s="394"/>
      <c r="AC279" s="394"/>
      <c r="AD279" s="394"/>
      <c r="AE279" s="394"/>
      <c r="AF279" s="394"/>
      <c r="AG279" s="394"/>
    </row>
    <row r="281" spans="1:56" ht="13.5" thickBot="1">
      <c r="A281" s="604" t="str">
        <f>IF(B309=1,B301,IF(B309=2,B302,IF(B309=3,B303,IF(B309=4,B304,IF(OR(B309="B",B309="b"),"BYE","invalid")))))</f>
        <v>Magnum 12 Blue</v>
      </c>
      <c r="B281" s="604"/>
      <c r="C281" s="604"/>
      <c r="D281" s="604"/>
      <c r="E281" s="604"/>
      <c r="F281" s="31"/>
      <c r="G281" s="31"/>
      <c r="H281" s="31"/>
      <c r="I281" s="31"/>
      <c r="J281" s="31"/>
      <c r="K281" s="31"/>
      <c r="L281" s="31"/>
      <c r="M281" s="31"/>
      <c r="N281" s="31"/>
      <c r="O281" s="31"/>
      <c r="P281" s="31"/>
      <c r="U281" s="605"/>
      <c r="V281" s="605"/>
      <c r="W281" s="604" t="str">
        <f>IF(X309=1,Y301,IF(X309=2,Y302,IF(X309=3,Y303,IF(X309=4,Y304,IF(OR(X309="B",X309="b"),"BYE","invalid")))))</f>
        <v>Magnum 11 Black</v>
      </c>
      <c r="X281" s="604"/>
      <c r="Y281" s="604"/>
      <c r="Z281" s="604"/>
      <c r="AA281" s="604"/>
      <c r="AB281" s="604"/>
      <c r="AC281" s="604"/>
      <c r="AD281" s="31"/>
      <c r="AE281" s="31"/>
      <c r="AF281" s="31"/>
      <c r="AG281" s="31"/>
    </row>
    <row r="282" spans="1:56">
      <c r="A282" s="606" t="s">
        <v>1220</v>
      </c>
      <c r="B282" s="606"/>
      <c r="C282" s="606"/>
      <c r="D282" s="606"/>
      <c r="E282" s="606"/>
      <c r="F282" s="607"/>
      <c r="G282" s="31"/>
      <c r="H282" s="31"/>
      <c r="I282" s="31"/>
      <c r="J282" s="31"/>
      <c r="K282" s="31"/>
      <c r="L282" s="31"/>
      <c r="M282" s="31"/>
      <c r="N282" s="31"/>
      <c r="O282" s="31"/>
      <c r="P282" s="31"/>
      <c r="U282" s="608"/>
      <c r="V282" s="608"/>
      <c r="W282" s="610" t="s">
        <v>1261</v>
      </c>
      <c r="X282" s="610"/>
      <c r="Y282" s="610"/>
      <c r="Z282" s="610"/>
      <c r="AA282" s="610"/>
      <c r="AB282" s="610"/>
      <c r="AC282" s="611"/>
      <c r="AD282" s="31"/>
      <c r="AE282" s="31"/>
      <c r="AF282" s="31"/>
      <c r="AG282" s="31"/>
    </row>
    <row r="283" spans="1:56">
      <c r="A283" s="31"/>
      <c r="B283" s="31"/>
      <c r="C283" s="31"/>
      <c r="D283" s="31"/>
      <c r="E283" s="31"/>
      <c r="F283" s="607"/>
      <c r="G283" s="31"/>
      <c r="H283" s="31"/>
      <c r="I283" s="31"/>
      <c r="J283" s="31"/>
      <c r="K283" s="31"/>
      <c r="L283" s="31"/>
      <c r="M283" s="31"/>
      <c r="N283" s="31"/>
      <c r="O283" s="31"/>
      <c r="P283" s="31"/>
      <c r="T283" s="31"/>
      <c r="U283" s="31"/>
      <c r="V283" s="31"/>
      <c r="W283" s="31"/>
      <c r="X283" s="31"/>
      <c r="Y283" s="31"/>
      <c r="Z283" s="31"/>
      <c r="AA283" s="31"/>
      <c r="AB283" s="31"/>
      <c r="AC283" s="609"/>
      <c r="AD283" s="31"/>
      <c r="AE283" s="31"/>
      <c r="AF283" s="31"/>
      <c r="AG283" s="31"/>
    </row>
    <row r="284" spans="1:56" ht="13.5" thickBot="1">
      <c r="A284" s="610" t="str">
        <f>B303&amp;" ref"</f>
        <v>USA 12 Purple ref</v>
      </c>
      <c r="B284" s="610"/>
      <c r="C284" s="610"/>
      <c r="D284" s="610"/>
      <c r="E284" s="611"/>
      <c r="F284" s="612" t="str">
        <f>IF(H309=1,B301,IF(H309=2,B302,IF(H309=3,B303,IF(H309=4,B304,"Winner Match 1"))))</f>
        <v>Winner Match 1</v>
      </c>
      <c r="G284" s="613"/>
      <c r="H284" s="613"/>
      <c r="I284" s="613"/>
      <c r="J284" s="613"/>
      <c r="K284" s="613"/>
      <c r="L284" s="613"/>
      <c r="M284" s="613"/>
      <c r="N284" s="613"/>
      <c r="O284" s="613"/>
      <c r="P284" s="31"/>
      <c r="R284" s="614"/>
      <c r="S284" s="614"/>
      <c r="T284" s="614"/>
      <c r="U284" s="614"/>
      <c r="V284" s="610" t="str">
        <f>Y303&amp;" ref"</f>
        <v>Intense kids power col ref</v>
      </c>
      <c r="W284" s="610"/>
      <c r="X284" s="610"/>
      <c r="Y284" s="610"/>
      <c r="Z284" s="610"/>
      <c r="AA284" s="610"/>
      <c r="AB284" s="610"/>
      <c r="AC284" s="611"/>
      <c r="AD284" s="612" t="str">
        <f>IF(AD309=1,Y301,IF(AD309=2,Y302,IF(AD309=3,Y303,IF(AD309=4,Y304,"Winner Match 1"))))</f>
        <v>Winner Match 1</v>
      </c>
      <c r="AE284" s="613"/>
      <c r="AF284" s="613"/>
      <c r="AG284" s="613"/>
      <c r="AH284" s="613"/>
      <c r="AI284" s="613"/>
      <c r="AJ284" s="613"/>
    </row>
    <row r="285" spans="1:56">
      <c r="A285" s="616" t="s">
        <v>1221</v>
      </c>
      <c r="B285" s="616"/>
      <c r="C285" s="616"/>
      <c r="D285" s="616"/>
      <c r="E285" s="616"/>
      <c r="F285" s="617"/>
      <c r="G285" s="618"/>
      <c r="H285" s="618"/>
      <c r="I285" s="619"/>
      <c r="J285" s="620"/>
      <c r="K285" s="621"/>
      <c r="L285" s="621"/>
      <c r="M285" s="621"/>
      <c r="N285" s="621"/>
      <c r="O285" s="621"/>
      <c r="P285" s="31"/>
      <c r="Q285" s="31"/>
      <c r="R285" s="622"/>
      <c r="S285" s="132"/>
      <c r="T285" s="623"/>
      <c r="U285" s="623"/>
      <c r="V285" s="624" t="s">
        <v>1229</v>
      </c>
      <c r="W285" s="624"/>
      <c r="X285" s="624"/>
      <c r="Y285" s="624"/>
      <c r="Z285" s="624"/>
      <c r="AA285" s="624"/>
      <c r="AB285" s="624"/>
      <c r="AC285" s="609"/>
      <c r="AD285" s="617"/>
      <c r="AE285" s="618"/>
      <c r="AF285" s="618"/>
      <c r="AG285" s="619"/>
      <c r="AH285" s="620"/>
      <c r="AI285" s="621"/>
      <c r="AJ285" s="621"/>
    </row>
    <row r="286" spans="1:56" ht="13.5" thickBot="1">
      <c r="A286" s="604" t="str">
        <f>IF(D309=1,B301,IF(D309=2,B302,IF(D309=3,B303,IF(D309=4,B304,IF(OR(D309="B",D309="b"),"BYE","invalid")))))</f>
        <v>SC Midlands KP Garnet</v>
      </c>
      <c r="B286" s="604"/>
      <c r="C286" s="604"/>
      <c r="D286" s="604"/>
      <c r="E286" s="625"/>
      <c r="F286" s="607"/>
      <c r="G286" s="31"/>
      <c r="H286" s="31"/>
      <c r="I286" s="31"/>
      <c r="J286" s="607"/>
      <c r="K286" s="31"/>
      <c r="L286" s="31"/>
      <c r="M286" s="31"/>
      <c r="N286" s="31"/>
      <c r="O286" s="31"/>
      <c r="P286" s="31"/>
      <c r="Q286" s="31"/>
      <c r="R286" s="31"/>
      <c r="V286" s="31"/>
      <c r="W286" s="604" t="str">
        <f>IF(Z309=1,Y301,IF(Z309=2,Y302,IF(Z309=3,Y303,IF(Z309=4,Y304,IF(OR(Z309="B",Z309="b"),"BYE","invalid")))))</f>
        <v>SC Midlands KP Gray</v>
      </c>
      <c r="X286" s="604"/>
      <c r="Y286" s="604"/>
      <c r="Z286" s="604"/>
      <c r="AA286" s="604"/>
      <c r="AB286" s="604"/>
      <c r="AC286" s="625"/>
      <c r="AD286" s="31"/>
      <c r="AE286" s="31"/>
      <c r="AF286" s="31"/>
      <c r="AG286" s="609"/>
      <c r="AH286" s="31"/>
      <c r="AI286" s="31"/>
      <c r="AW286" s="166"/>
      <c r="AX286" s="115"/>
      <c r="AY286" s="115"/>
      <c r="AZ286" s="115"/>
      <c r="BA286" s="115"/>
    </row>
    <row r="287" spans="1:56">
      <c r="A287" s="606" t="s">
        <v>1262</v>
      </c>
      <c r="B287" s="606"/>
      <c r="C287" s="606"/>
      <c r="D287" s="606"/>
      <c r="E287" s="606"/>
      <c r="F287" s="31"/>
      <c r="G287" s="31"/>
      <c r="H287" s="31"/>
      <c r="I287" s="31"/>
      <c r="J287" s="607"/>
      <c r="K287" s="31"/>
      <c r="L287" s="31"/>
      <c r="M287" s="31"/>
      <c r="N287" s="31"/>
      <c r="O287" s="31"/>
      <c r="P287" s="31"/>
      <c r="Q287" s="31"/>
      <c r="R287" s="31"/>
      <c r="W287" s="818" t="s">
        <v>1263</v>
      </c>
      <c r="X287" s="818"/>
      <c r="Y287" s="818"/>
      <c r="Z287" s="818"/>
      <c r="AA287" s="818"/>
      <c r="AB287" s="818"/>
      <c r="AC287" s="818"/>
      <c r="AD287" s="31"/>
      <c r="AE287" s="31"/>
      <c r="AF287" s="31"/>
      <c r="AG287" s="609"/>
      <c r="AH287" s="31"/>
      <c r="AI287" s="31"/>
      <c r="AS287" s="120"/>
      <c r="AW287" s="166"/>
      <c r="AX287" s="115"/>
      <c r="AY287" s="115"/>
      <c r="AZ287" s="115"/>
      <c r="BA287" s="115"/>
      <c r="BB287" s="120"/>
      <c r="BC287" s="120"/>
      <c r="BD287" s="120"/>
    </row>
    <row r="288" spans="1:56">
      <c r="A288" s="31"/>
      <c r="B288" s="31"/>
      <c r="C288" s="31"/>
      <c r="D288" s="31"/>
      <c r="E288" s="31"/>
      <c r="F288" s="615" t="s">
        <v>1222</v>
      </c>
      <c r="G288" s="615"/>
      <c r="H288" s="615"/>
      <c r="I288" s="626"/>
      <c r="J288" s="607"/>
      <c r="K288" s="31"/>
      <c r="L288" s="31"/>
      <c r="M288" s="31"/>
      <c r="N288" s="31"/>
      <c r="O288" s="31"/>
      <c r="P288" s="31"/>
      <c r="Q288" s="31"/>
      <c r="R288" s="31"/>
      <c r="T288" s="31"/>
      <c r="U288" s="31"/>
      <c r="V288" s="31"/>
      <c r="W288" s="31"/>
      <c r="X288" s="31"/>
      <c r="Y288" s="614"/>
      <c r="Z288" s="614"/>
      <c r="AA288" s="614"/>
      <c r="AC288" s="614"/>
      <c r="AD288" s="615" t="s">
        <v>1222</v>
      </c>
      <c r="AE288" s="615"/>
      <c r="AF288" s="615"/>
      <c r="AG288" s="626"/>
      <c r="AH288" s="31"/>
      <c r="AI288" s="31"/>
      <c r="AW288" s="166"/>
      <c r="AX288" s="115"/>
      <c r="AY288" s="115"/>
      <c r="AZ288" s="115"/>
      <c r="BA288" s="115"/>
    </row>
    <row r="289" spans="1:53" ht="13.5" thickBot="1">
      <c r="A289" s="31"/>
      <c r="B289" s="31"/>
      <c r="C289" s="31"/>
      <c r="D289" s="31"/>
      <c r="E289" s="31"/>
      <c r="F289" s="31"/>
      <c r="G289" s="31"/>
      <c r="H289" s="31"/>
      <c r="I289" s="31"/>
      <c r="J289" s="627" t="str">
        <f>IF(K314=1,B301,IF(K314=2,B302,IF(K314=3,B303,IF(K314=4,B304,"Division Winner"))))</f>
        <v>Division Winner</v>
      </c>
      <c r="K289" s="628"/>
      <c r="L289" s="628"/>
      <c r="M289" s="628"/>
      <c r="N289" s="628"/>
      <c r="O289" s="628"/>
      <c r="P289" s="628"/>
      <c r="Q289" s="628"/>
      <c r="R289" s="819"/>
      <c r="S289" s="605"/>
      <c r="T289" s="31"/>
      <c r="U289" s="31"/>
      <c r="V289" s="31"/>
      <c r="W289" s="31"/>
      <c r="X289" s="31"/>
      <c r="Y289" s="31"/>
      <c r="Z289" s="31"/>
      <c r="AA289" s="31"/>
      <c r="AB289" s="31"/>
      <c r="AC289" s="51"/>
      <c r="AD289" s="51"/>
      <c r="AE289" s="51"/>
      <c r="AF289" s="51"/>
      <c r="AG289" s="52"/>
      <c r="AH289" s="627" t="str">
        <f>IF(AG314=1,Y301,IF(AG314=2,Y302,IF(AG314=3,Y303,IF(AG314=4,Y304,"Division Winner"))))</f>
        <v>Division Winner</v>
      </c>
      <c r="AI289" s="628"/>
      <c r="AJ289" s="628"/>
      <c r="AK289" s="628"/>
      <c r="AL289" s="628"/>
      <c r="AM289" s="628"/>
      <c r="AW289" s="166"/>
      <c r="AX289" s="115"/>
      <c r="AY289" s="115"/>
      <c r="AZ289" s="115"/>
      <c r="BA289" s="115"/>
    </row>
    <row r="290" spans="1:53" ht="13.5" thickBot="1">
      <c r="A290" s="604" t="str">
        <f>IF(E309=1,B301,IF(E309=2,B302,IF(E309=3,B303,IF(E309=4,B304,IF(OR(E309="B",E309="b"),"BYE","invalid")))))</f>
        <v>Magnum Aiken 12 Yellow</v>
      </c>
      <c r="B290" s="604"/>
      <c r="C290" s="604"/>
      <c r="D290" s="604"/>
      <c r="E290" s="604"/>
      <c r="F290" s="616" t="s">
        <v>1223</v>
      </c>
      <c r="G290" s="616"/>
      <c r="H290" s="616"/>
      <c r="I290" s="616"/>
      <c r="J290" s="631" t="s">
        <v>1224</v>
      </c>
      <c r="K290" s="632"/>
      <c r="L290" s="632"/>
      <c r="M290" s="632"/>
      <c r="N290" s="632"/>
      <c r="O290" s="632"/>
      <c r="P290" s="632"/>
      <c r="Q290" s="632"/>
      <c r="R290" s="614"/>
      <c r="T290" s="51"/>
      <c r="U290" s="51"/>
      <c r="V290" s="51"/>
      <c r="W290" s="604" t="str">
        <f>IF(AA309=1,Y301,IF(AA309=2,Y302,IF(AA309=3,Y303,IF(AA309=4,Y304,IF(OR(AA309="B",AA309="b"),"BYE","invalid")))))</f>
        <v>Foothills Vanessa</v>
      </c>
      <c r="X290" s="604"/>
      <c r="Y290" s="604"/>
      <c r="Z290" s="604"/>
      <c r="AA290" s="604"/>
      <c r="AB290" s="604"/>
      <c r="AC290" s="604"/>
      <c r="AD290" s="616" t="s">
        <v>1225</v>
      </c>
      <c r="AE290" s="616"/>
      <c r="AF290" s="616"/>
      <c r="AG290" s="630"/>
      <c r="AH290" s="629" t="s">
        <v>1226</v>
      </c>
      <c r="AI290" s="615"/>
      <c r="AJ290" s="615"/>
      <c r="AK290" s="615"/>
      <c r="AL290" s="615"/>
      <c r="AM290" s="615"/>
      <c r="AW290" s="166"/>
      <c r="AX290" s="115"/>
      <c r="AY290" s="115"/>
      <c r="AZ290" s="115"/>
      <c r="BA290" s="115"/>
    </row>
    <row r="291" spans="1:53">
      <c r="A291" s="606" t="s">
        <v>1227</v>
      </c>
      <c r="B291" s="606"/>
      <c r="C291" s="606"/>
      <c r="D291" s="606"/>
      <c r="E291" s="606"/>
      <c r="F291" s="607"/>
      <c r="G291" s="31"/>
      <c r="H291" s="31"/>
      <c r="I291" s="31"/>
      <c r="J291" s="629"/>
      <c r="K291" s="615"/>
      <c r="L291" s="615"/>
      <c r="M291" s="615"/>
      <c r="N291" s="615"/>
      <c r="O291" s="615"/>
      <c r="P291" s="615"/>
      <c r="Q291" s="615"/>
      <c r="R291" s="615"/>
      <c r="S291" s="31"/>
      <c r="T291" s="120"/>
      <c r="U291" s="120"/>
      <c r="V291" s="120"/>
      <c r="W291" s="610" t="s">
        <v>1264</v>
      </c>
      <c r="X291" s="610"/>
      <c r="Y291" s="610"/>
      <c r="Z291" s="610"/>
      <c r="AA291" s="610"/>
      <c r="AB291" s="610"/>
      <c r="AC291" s="611"/>
      <c r="AD291" s="31"/>
      <c r="AE291" s="31"/>
      <c r="AF291" s="31"/>
      <c r="AG291" s="609"/>
      <c r="AH291" s="31"/>
      <c r="AI291" s="31"/>
      <c r="AW291" s="166"/>
      <c r="AX291" s="115"/>
      <c r="AY291" s="115"/>
      <c r="AZ291" s="115"/>
      <c r="BA291" s="115"/>
    </row>
    <row r="292" spans="1:53">
      <c r="A292" s="31"/>
      <c r="B292" s="31"/>
      <c r="C292" s="31"/>
      <c r="D292" s="31"/>
      <c r="E292" s="31"/>
      <c r="F292" s="607"/>
      <c r="G292" s="31"/>
      <c r="H292" s="31"/>
      <c r="I292" s="31"/>
      <c r="J292" s="607"/>
      <c r="K292" s="31"/>
      <c r="L292" s="31"/>
      <c r="M292" s="31"/>
      <c r="N292" s="31"/>
      <c r="O292" s="31"/>
      <c r="P292" s="31"/>
      <c r="R292" s="31"/>
      <c r="S292" s="31"/>
      <c r="T292" s="31"/>
      <c r="U292" s="31"/>
      <c r="V292" s="31"/>
      <c r="W292" s="31"/>
      <c r="X292" s="31"/>
      <c r="Y292" s="31"/>
      <c r="Z292" s="31"/>
      <c r="AA292" s="31"/>
      <c r="AB292" s="31"/>
      <c r="AC292" s="609"/>
      <c r="AD292" s="607"/>
      <c r="AE292" s="31"/>
      <c r="AF292" s="31"/>
      <c r="AG292" s="609"/>
      <c r="AH292" s="31"/>
      <c r="AI292" s="31"/>
      <c r="AW292" s="166"/>
      <c r="AX292" s="115"/>
      <c r="AY292" s="115"/>
      <c r="AZ292" s="115"/>
      <c r="BA292" s="115"/>
    </row>
    <row r="293" spans="1:53" ht="13.5" thickBot="1">
      <c r="A293" s="738" t="s">
        <v>1228</v>
      </c>
      <c r="B293" s="738"/>
      <c r="C293" s="738"/>
      <c r="D293" s="738"/>
      <c r="E293" s="622"/>
      <c r="F293" s="633"/>
      <c r="G293" s="634"/>
      <c r="H293" s="634"/>
      <c r="I293" s="635"/>
      <c r="J293" s="620"/>
      <c r="K293" s="621"/>
      <c r="L293" s="621"/>
      <c r="M293" s="621"/>
      <c r="N293" s="621"/>
      <c r="O293" s="621"/>
      <c r="P293" s="31"/>
      <c r="S293" s="614"/>
      <c r="T293" s="614"/>
      <c r="U293" s="614"/>
      <c r="V293" s="615" t="s">
        <v>1228</v>
      </c>
      <c r="W293" s="615"/>
      <c r="X293" s="615"/>
      <c r="Y293" s="615"/>
      <c r="Z293" s="615"/>
      <c r="AA293" s="615"/>
      <c r="AB293" s="615"/>
      <c r="AC293" s="31"/>
      <c r="AD293" s="633"/>
      <c r="AE293" s="634"/>
      <c r="AF293" s="634"/>
      <c r="AG293" s="635"/>
      <c r="AH293" s="620"/>
      <c r="AI293" s="621"/>
      <c r="AJ293" s="621"/>
      <c r="AW293" s="166"/>
      <c r="AX293" s="115"/>
      <c r="AY293" s="115"/>
      <c r="AZ293" s="115"/>
      <c r="BA293" s="115"/>
    </row>
    <row r="294" spans="1:53">
      <c r="A294" s="616" t="s">
        <v>1221</v>
      </c>
      <c r="B294" s="616"/>
      <c r="C294" s="616"/>
      <c r="D294" s="616"/>
      <c r="E294" s="630"/>
      <c r="F294" s="612" t="str">
        <f>IF(J309=1,B301,IF(J309=2,B302,IF(J309=3,B303,IF(J309=4,B304,"Winner Match 2"))))</f>
        <v>Winner Match 2</v>
      </c>
      <c r="G294" s="613"/>
      <c r="H294" s="613"/>
      <c r="I294" s="613"/>
      <c r="J294" s="613"/>
      <c r="K294" s="613"/>
      <c r="L294" s="613"/>
      <c r="M294" s="613"/>
      <c r="N294" s="613"/>
      <c r="O294" s="613"/>
      <c r="P294" s="31"/>
      <c r="R294" s="622"/>
      <c r="S294" s="622"/>
      <c r="U294" s="623"/>
      <c r="V294" s="616" t="s">
        <v>1229</v>
      </c>
      <c r="W294" s="616"/>
      <c r="X294" s="616"/>
      <c r="Y294" s="616"/>
      <c r="Z294" s="616"/>
      <c r="AA294" s="616"/>
      <c r="AB294" s="616"/>
      <c r="AC294" s="609"/>
      <c r="AD294" s="612" t="str">
        <f>IF(AF309=1,Y301,IF(AF309=2,Y302,IF(AF309=3,Y303,IF(AF309=4,Y304,"Winner Match 2"))))</f>
        <v>Winner Match 2</v>
      </c>
      <c r="AE294" s="613"/>
      <c r="AF294" s="613"/>
      <c r="AG294" s="613"/>
      <c r="AH294" s="613"/>
      <c r="AI294" s="613"/>
      <c r="AJ294" s="613"/>
      <c r="AW294" s="166"/>
      <c r="AX294" s="115"/>
      <c r="AY294" s="115"/>
      <c r="AZ294" s="115"/>
      <c r="BA294" s="115"/>
    </row>
    <row r="295" spans="1:53" ht="13.5" thickBot="1">
      <c r="A295" s="604" t="str">
        <f>IF(G309=1,B301,IF(G309=2,B302,IF(G309=3,B303,IF(G309=4,B304,IF(OR(G309="B",G309="b"),"BYE","invalid")))))</f>
        <v>USA 12 Purple</v>
      </c>
      <c r="B295" s="604"/>
      <c r="C295" s="604"/>
      <c r="D295" s="604"/>
      <c r="E295" s="625"/>
      <c r="F295" s="607"/>
      <c r="G295" s="31"/>
      <c r="H295" s="31"/>
      <c r="I295" s="31"/>
      <c r="J295" s="31"/>
      <c r="K295" s="31"/>
      <c r="L295" s="31"/>
      <c r="M295" s="31"/>
      <c r="N295" s="31"/>
      <c r="O295" s="31"/>
      <c r="P295" s="31"/>
      <c r="R295" s="31"/>
      <c r="S295" s="31"/>
      <c r="T295" s="31"/>
      <c r="U295" s="51"/>
      <c r="V295" s="51"/>
      <c r="W295" s="604" t="str">
        <f>IF(AC309=1,Y301,IF(AC309=2,Y302,IF(AC309=3,Y303,IF(AC309=4,Y304,IF(OR(AC309="B",AC309="b"),"BYE","invalid")))))</f>
        <v>Intense kids power col</v>
      </c>
      <c r="X295" s="604"/>
      <c r="Y295" s="604"/>
      <c r="Z295" s="604"/>
      <c r="AA295" s="604"/>
      <c r="AB295" s="604"/>
      <c r="AC295" s="625"/>
      <c r="AD295" s="31"/>
      <c r="AE295" s="31"/>
      <c r="AF295" s="31"/>
      <c r="AG295" s="31"/>
      <c r="AW295" s="166"/>
      <c r="AX295" s="115"/>
      <c r="AY295" s="115"/>
      <c r="AZ295" s="115"/>
      <c r="BA295" s="115"/>
    </row>
    <row r="296" spans="1:53">
      <c r="A296" s="606" t="s">
        <v>1265</v>
      </c>
      <c r="B296" s="606"/>
      <c r="C296" s="606"/>
      <c r="D296" s="606"/>
      <c r="E296" s="606"/>
      <c r="U296" s="120"/>
      <c r="V296" s="120"/>
      <c r="W296" s="610" t="s">
        <v>1266</v>
      </c>
      <c r="X296" s="610"/>
      <c r="Y296" s="610"/>
      <c r="Z296" s="610"/>
      <c r="AA296" s="610"/>
      <c r="AB296" s="610"/>
      <c r="AC296" s="610"/>
      <c r="AW296" s="166"/>
      <c r="AX296" s="115"/>
      <c r="AY296" s="115"/>
      <c r="AZ296" s="115"/>
      <c r="BA296" s="115"/>
    </row>
    <row r="297" spans="1:53">
      <c r="AT297" s="115"/>
      <c r="AU297" s="115"/>
      <c r="AV297" s="115"/>
      <c r="AW297" s="166"/>
      <c r="AX297" s="115"/>
      <c r="AY297" s="115"/>
      <c r="AZ297" s="115"/>
      <c r="BA297" s="115"/>
    </row>
    <row r="298" spans="1:53">
      <c r="AT298" s="115"/>
      <c r="AU298" s="115"/>
      <c r="AV298" s="115"/>
      <c r="AW298" s="166"/>
      <c r="AX298" s="115"/>
      <c r="AY298" s="115"/>
      <c r="AZ298" s="115"/>
      <c r="BA298" s="115"/>
    </row>
    <row r="299" spans="1:53" ht="16.5" thickBot="1">
      <c r="A299" s="636" t="s">
        <v>1230</v>
      </c>
      <c r="B299" s="636"/>
      <c r="C299" s="636"/>
      <c r="D299" s="636"/>
      <c r="E299" s="636"/>
      <c r="F299" s="636"/>
      <c r="G299" s="636"/>
      <c r="H299" s="636"/>
      <c r="I299" s="636"/>
      <c r="J299" s="636"/>
      <c r="K299" s="637"/>
      <c r="L299" s="637"/>
      <c r="S299" s="638"/>
      <c r="T299" s="638"/>
      <c r="U299" s="638"/>
      <c r="V299" s="636" t="s">
        <v>1231</v>
      </c>
      <c r="W299" s="636"/>
      <c r="X299" s="636"/>
      <c r="Y299" s="636"/>
      <c r="Z299" s="636"/>
      <c r="AA299" s="636"/>
      <c r="AB299" s="636"/>
      <c r="AC299" s="636"/>
      <c r="AD299" s="636"/>
      <c r="AE299" s="636"/>
      <c r="AF299" s="636"/>
      <c r="AG299" s="636"/>
      <c r="AT299" s="115"/>
      <c r="AU299" s="115"/>
      <c r="AV299" s="115"/>
      <c r="AW299" s="166"/>
      <c r="AX299" s="115"/>
      <c r="AY299" s="115"/>
      <c r="AZ299" s="115"/>
      <c r="BA299" s="115"/>
    </row>
    <row r="300" spans="1:53" ht="13.5" thickBot="1">
      <c r="A300" s="639" t="s">
        <v>1232</v>
      </c>
      <c r="B300" s="640" t="s">
        <v>1233</v>
      </c>
      <c r="C300" s="641"/>
      <c r="D300" s="641"/>
      <c r="E300" s="641"/>
      <c r="F300" s="641"/>
      <c r="G300" s="641"/>
      <c r="H300" s="641"/>
      <c r="I300" s="641"/>
      <c r="J300" s="642"/>
      <c r="K300" s="643" t="s">
        <v>1234</v>
      </c>
      <c r="L300" s="644"/>
      <c r="M300" s="644"/>
      <c r="N300" s="644"/>
      <c r="O300" s="644"/>
      <c r="P300" s="644"/>
      <c r="Q300" s="645"/>
      <c r="R300" s="51"/>
      <c r="S300" s="31"/>
      <c r="V300" s="646" t="s">
        <v>1232</v>
      </c>
      <c r="W300" s="647"/>
      <c r="X300" s="648"/>
      <c r="Y300" s="640" t="s">
        <v>1233</v>
      </c>
      <c r="Z300" s="641"/>
      <c r="AA300" s="641"/>
      <c r="AB300" s="641"/>
      <c r="AC300" s="641"/>
      <c r="AD300" s="641"/>
      <c r="AE300" s="641"/>
      <c r="AF300" s="641"/>
      <c r="AG300" s="642"/>
      <c r="AH300" s="643" t="s">
        <v>1234</v>
      </c>
      <c r="AI300" s="644"/>
      <c r="AJ300" s="644"/>
      <c r="AK300" s="644"/>
      <c r="AL300" s="644"/>
      <c r="AM300" s="644"/>
      <c r="AN300" s="645"/>
      <c r="AT300" s="115"/>
      <c r="AU300" s="115"/>
      <c r="AV300" s="115"/>
      <c r="AW300" s="166"/>
      <c r="AX300" s="115"/>
      <c r="AY300" s="115"/>
      <c r="AZ300" s="115"/>
      <c r="BA300" s="115"/>
    </row>
    <row r="301" spans="1:53" ht="13.5" thickBot="1">
      <c r="A301" s="639">
        <v>1</v>
      </c>
      <c r="B301" s="649" t="str">
        <f>B264</f>
        <v>Magnum 12 Blue</v>
      </c>
      <c r="C301" s="650"/>
      <c r="D301" s="650"/>
      <c r="E301" s="650"/>
      <c r="F301" s="650"/>
      <c r="G301" s="650"/>
      <c r="H301" s="650"/>
      <c r="I301" s="650"/>
      <c r="J301" s="651"/>
      <c r="K301" s="652" t="str">
        <f>F264</f>
        <v>fj2magnm4pm</v>
      </c>
      <c r="L301" s="653"/>
      <c r="M301" s="653"/>
      <c r="N301" s="653"/>
      <c r="O301" s="653"/>
      <c r="P301" s="653"/>
      <c r="Q301" s="654"/>
      <c r="R301" s="51"/>
      <c r="S301" s="31"/>
      <c r="V301" s="646">
        <v>1</v>
      </c>
      <c r="W301" s="647"/>
      <c r="X301" s="648"/>
      <c r="Y301" s="649" t="str">
        <f>M270</f>
        <v>Magnum 11 Black</v>
      </c>
      <c r="Z301" s="650"/>
      <c r="AA301" s="650"/>
      <c r="AB301" s="650"/>
      <c r="AC301" s="650"/>
      <c r="AD301" s="650"/>
      <c r="AE301" s="650"/>
      <c r="AF301" s="650"/>
      <c r="AG301" s="651"/>
      <c r="AH301" s="652" t="str">
        <f>T270</f>
        <v>fj1magnm1pm</v>
      </c>
      <c r="AI301" s="653"/>
      <c r="AJ301" s="653"/>
      <c r="AK301" s="653"/>
      <c r="AL301" s="653"/>
      <c r="AM301" s="653"/>
      <c r="AN301" s="654"/>
      <c r="AT301" s="115"/>
      <c r="AU301" s="115"/>
      <c r="AV301" s="115"/>
      <c r="AW301" s="166"/>
      <c r="AX301" s="115"/>
      <c r="AY301" s="115"/>
      <c r="AZ301" s="115"/>
      <c r="BA301" s="115"/>
    </row>
    <row r="302" spans="1:53" ht="13.5" thickBot="1">
      <c r="A302" s="639">
        <v>2</v>
      </c>
      <c r="B302" s="649" t="str">
        <f>B265</f>
        <v>Magnum Aiken 12 Yellow</v>
      </c>
      <c r="C302" s="650"/>
      <c r="D302" s="650"/>
      <c r="E302" s="650"/>
      <c r="F302" s="650"/>
      <c r="G302" s="650"/>
      <c r="H302" s="650"/>
      <c r="I302" s="650"/>
      <c r="J302" s="651"/>
      <c r="K302" s="652" t="str">
        <f>F265</f>
        <v>fj2magnm5pm</v>
      </c>
      <c r="L302" s="653"/>
      <c r="M302" s="653"/>
      <c r="N302" s="653"/>
      <c r="O302" s="653"/>
      <c r="P302" s="653"/>
      <c r="Q302" s="654"/>
      <c r="R302" s="51"/>
      <c r="S302" s="31"/>
      <c r="V302" s="646">
        <v>2</v>
      </c>
      <c r="W302" s="647"/>
      <c r="X302" s="648"/>
      <c r="Y302" s="649" t="str">
        <f>M271</f>
        <v>Foothills Vanessa</v>
      </c>
      <c r="Z302" s="650"/>
      <c r="AA302" s="650"/>
      <c r="AB302" s="650"/>
      <c r="AC302" s="650"/>
      <c r="AD302" s="650"/>
      <c r="AE302" s="650"/>
      <c r="AF302" s="650"/>
      <c r="AG302" s="651"/>
      <c r="AH302" s="652" t="str">
        <f>T271</f>
        <v>fj2footh2pm</v>
      </c>
      <c r="AI302" s="653"/>
      <c r="AJ302" s="653"/>
      <c r="AK302" s="653"/>
      <c r="AL302" s="653"/>
      <c r="AM302" s="653"/>
      <c r="AN302" s="654"/>
      <c r="AT302" s="115"/>
      <c r="AU302" s="115"/>
      <c r="AV302" s="115"/>
      <c r="AW302" s="166"/>
      <c r="AX302" s="115"/>
      <c r="AY302" s="115"/>
      <c r="AZ302" s="115"/>
      <c r="BA302" s="115"/>
    </row>
    <row r="303" spans="1:53" ht="13.5" thickBot="1">
      <c r="A303" s="639">
        <v>3</v>
      </c>
      <c r="B303" s="649" t="str">
        <f>B266</f>
        <v>USA 12 Purple</v>
      </c>
      <c r="C303" s="650"/>
      <c r="D303" s="650"/>
      <c r="E303" s="650"/>
      <c r="F303" s="650"/>
      <c r="G303" s="650"/>
      <c r="H303" s="650"/>
      <c r="I303" s="650"/>
      <c r="J303" s="651"/>
      <c r="K303" s="652" t="str">
        <f>F266</f>
        <v>fj2unsel2cr</v>
      </c>
      <c r="L303" s="653"/>
      <c r="M303" s="653"/>
      <c r="N303" s="653"/>
      <c r="O303" s="653"/>
      <c r="P303" s="653"/>
      <c r="Q303" s="654"/>
      <c r="R303" s="51"/>
      <c r="S303" s="31"/>
      <c r="V303" s="646">
        <v>3</v>
      </c>
      <c r="W303" s="647"/>
      <c r="X303" s="648"/>
      <c r="Y303" s="649" t="str">
        <f>X269</f>
        <v>Intense kids power col</v>
      </c>
      <c r="Z303" s="650"/>
      <c r="AA303" s="650"/>
      <c r="AB303" s="650"/>
      <c r="AC303" s="650"/>
      <c r="AD303" s="650"/>
      <c r="AE303" s="650"/>
      <c r="AF303" s="650"/>
      <c r="AG303" s="651"/>
      <c r="AH303" s="652" t="str">
        <f>AF269</f>
        <v>fj2inten3pm</v>
      </c>
      <c r="AI303" s="653"/>
      <c r="AJ303" s="653"/>
      <c r="AK303" s="653"/>
      <c r="AL303" s="653"/>
      <c r="AM303" s="653"/>
      <c r="AN303" s="654"/>
      <c r="AT303" s="115"/>
      <c r="AU303" s="115"/>
      <c r="AV303" s="115"/>
      <c r="AW303" s="166"/>
      <c r="AX303" s="115"/>
      <c r="AY303" s="115"/>
      <c r="AZ303" s="115"/>
      <c r="BA303" s="115"/>
    </row>
    <row r="304" spans="1:53" ht="13.5" thickBot="1">
      <c r="A304" s="639">
        <v>4</v>
      </c>
      <c r="B304" s="741" t="str">
        <f>M269</f>
        <v>SC Midlands KP Garnet</v>
      </c>
      <c r="C304" s="742"/>
      <c r="D304" s="742"/>
      <c r="E304" s="742"/>
      <c r="F304" s="742"/>
      <c r="G304" s="742"/>
      <c r="H304" s="742"/>
      <c r="I304" s="742"/>
      <c r="J304" s="743"/>
      <c r="K304" s="652" t="str">
        <f>T269</f>
        <v>fj1scmid2pm</v>
      </c>
      <c r="L304" s="653"/>
      <c r="M304" s="653"/>
      <c r="N304" s="653"/>
      <c r="O304" s="653"/>
      <c r="P304" s="653"/>
      <c r="Q304" s="654"/>
      <c r="R304" s="51"/>
      <c r="S304" s="31"/>
      <c r="V304" s="646">
        <v>4</v>
      </c>
      <c r="W304" s="647"/>
      <c r="X304" s="648"/>
      <c r="Y304" s="649" t="str">
        <f>X270</f>
        <v>SC Midlands KP Gray</v>
      </c>
      <c r="Z304" s="650"/>
      <c r="AA304" s="650"/>
      <c r="AB304" s="650"/>
      <c r="AC304" s="650"/>
      <c r="AD304" s="650"/>
      <c r="AE304" s="650"/>
      <c r="AF304" s="650"/>
      <c r="AG304" s="651"/>
      <c r="AH304" s="652" t="str">
        <f>AF270</f>
        <v>fj2scmid4pm</v>
      </c>
      <c r="AI304" s="653"/>
      <c r="AJ304" s="653"/>
      <c r="AK304" s="653"/>
      <c r="AL304" s="653"/>
      <c r="AM304" s="653"/>
      <c r="AN304" s="654"/>
      <c r="AT304" s="115"/>
      <c r="AU304" s="115"/>
      <c r="AV304" s="115"/>
      <c r="AW304" s="166"/>
      <c r="AX304" s="115"/>
      <c r="AY304" s="115"/>
      <c r="AZ304" s="115"/>
      <c r="BA304" s="115"/>
    </row>
    <row r="305" spans="1:80" ht="13.5" thickBot="1">
      <c r="AT305" s="115"/>
      <c r="AU305" s="115"/>
      <c r="AV305" s="115"/>
      <c r="AW305" s="166"/>
      <c r="AX305" s="115"/>
      <c r="AY305" s="115"/>
      <c r="AZ305" s="115"/>
      <c r="BA305" s="115"/>
    </row>
    <row r="306" spans="1:80">
      <c r="B306" s="655" t="s">
        <v>1236</v>
      </c>
      <c r="C306" s="656"/>
      <c r="D306" s="657"/>
      <c r="E306" s="658" t="s">
        <v>1236</v>
      </c>
      <c r="F306" s="656"/>
      <c r="G306" s="657"/>
      <c r="H306" s="658" t="s">
        <v>7</v>
      </c>
      <c r="I306" s="656"/>
      <c r="J306" s="659"/>
      <c r="K306" s="660" t="s">
        <v>1237</v>
      </c>
      <c r="L306" s="661"/>
      <c r="M306" s="661"/>
      <c r="N306" s="661"/>
      <c r="O306" s="661"/>
      <c r="P306" s="661"/>
      <c r="Q306" s="662"/>
      <c r="S306" s="663"/>
      <c r="T306" s="663"/>
      <c r="U306" s="663"/>
      <c r="V306" s="663"/>
      <c r="X306" s="655" t="s">
        <v>1236</v>
      </c>
      <c r="Y306" s="656"/>
      <c r="Z306" s="657"/>
      <c r="AA306" s="658" t="s">
        <v>1236</v>
      </c>
      <c r="AB306" s="656"/>
      <c r="AC306" s="657"/>
      <c r="AD306" s="658" t="s">
        <v>7</v>
      </c>
      <c r="AE306" s="656"/>
      <c r="AF306" s="659"/>
      <c r="AG306" s="660" t="s">
        <v>1237</v>
      </c>
      <c r="AH306" s="664"/>
      <c r="AI306" s="664"/>
      <c r="AJ306" s="664"/>
      <c r="AK306" s="665"/>
      <c r="AW306" s="166"/>
      <c r="AX306" s="115"/>
      <c r="AY306" s="115"/>
      <c r="AZ306" s="115"/>
      <c r="BA306" s="115"/>
    </row>
    <row r="307" spans="1:80">
      <c r="A307" s="107" t="s">
        <v>1238</v>
      </c>
      <c r="B307" s="666">
        <v>3</v>
      </c>
      <c r="C307" s="667"/>
      <c r="D307" s="668"/>
      <c r="E307" s="669" t="s">
        <v>1239</v>
      </c>
      <c r="F307" s="667"/>
      <c r="G307" s="668"/>
      <c r="H307" s="669" t="s">
        <v>1240</v>
      </c>
      <c r="I307" s="667"/>
      <c r="J307" s="670"/>
      <c r="K307" s="671"/>
      <c r="L307" s="672"/>
      <c r="M307" s="672"/>
      <c r="N307" s="672"/>
      <c r="O307" s="672"/>
      <c r="P307" s="672"/>
      <c r="Q307" s="673"/>
      <c r="S307" s="663"/>
      <c r="T307" s="663"/>
      <c r="U307" s="674" t="s">
        <v>1238</v>
      </c>
      <c r="V307" s="674"/>
      <c r="W307" s="675"/>
      <c r="X307" s="666">
        <v>3</v>
      </c>
      <c r="Y307" s="667"/>
      <c r="Z307" s="668"/>
      <c r="AA307" s="669" t="s">
        <v>1239</v>
      </c>
      <c r="AB307" s="667"/>
      <c r="AC307" s="668"/>
      <c r="AD307" s="669" t="s">
        <v>1240</v>
      </c>
      <c r="AE307" s="667"/>
      <c r="AF307" s="670"/>
      <c r="AG307" s="676"/>
      <c r="AH307" s="677"/>
      <c r="AI307" s="677"/>
      <c r="AJ307" s="677"/>
      <c r="AK307" s="678"/>
      <c r="AW307" s="166"/>
      <c r="AX307" s="115"/>
      <c r="AY307" s="115"/>
      <c r="AZ307" s="115"/>
      <c r="BA307" s="115"/>
    </row>
    <row r="308" spans="1:80" ht="13.5" thickBot="1">
      <c r="A308" s="534"/>
      <c r="B308" s="679" t="s">
        <v>30</v>
      </c>
      <c r="C308" s="387"/>
      <c r="D308" s="388"/>
      <c r="E308" s="386" t="s">
        <v>1241</v>
      </c>
      <c r="F308" s="387"/>
      <c r="G308" s="388"/>
      <c r="H308" s="386" t="s">
        <v>1242</v>
      </c>
      <c r="I308" s="387"/>
      <c r="J308" s="680"/>
      <c r="K308" s="681"/>
      <c r="L308" s="682"/>
      <c r="M308" s="682"/>
      <c r="N308" s="682"/>
      <c r="O308" s="682"/>
      <c r="P308" s="682"/>
      <c r="Q308" s="683"/>
      <c r="S308" s="663"/>
      <c r="T308" s="663"/>
      <c r="U308" s="684"/>
      <c r="V308" s="684"/>
      <c r="W308" s="685"/>
      <c r="X308" s="679" t="s">
        <v>30</v>
      </c>
      <c r="Y308" s="387"/>
      <c r="Z308" s="388"/>
      <c r="AA308" s="386" t="s">
        <v>1241</v>
      </c>
      <c r="AB308" s="387"/>
      <c r="AC308" s="388"/>
      <c r="AD308" s="386" t="s">
        <v>1242</v>
      </c>
      <c r="AE308" s="387"/>
      <c r="AF308" s="680"/>
      <c r="AG308" s="686"/>
      <c r="AH308" s="687"/>
      <c r="AI308" s="687"/>
      <c r="AJ308" s="687"/>
      <c r="AK308" s="688"/>
      <c r="AW308" s="166"/>
      <c r="AX308" s="115"/>
      <c r="AY308" s="115"/>
      <c r="AZ308" s="115"/>
      <c r="BA308" s="115"/>
    </row>
    <row r="309" spans="1:80" ht="13.5" thickBot="1">
      <c r="A309" s="534"/>
      <c r="B309" s="689">
        <v>1</v>
      </c>
      <c r="C309" s="690" t="s">
        <v>35</v>
      </c>
      <c r="D309" s="691">
        <v>4</v>
      </c>
      <c r="E309" s="692">
        <v>2</v>
      </c>
      <c r="F309" s="690" t="s">
        <v>35</v>
      </c>
      <c r="G309" s="691">
        <v>3</v>
      </c>
      <c r="H309" s="693" t="str">
        <f>IF(OR(AND(OR(B313&gt;0,D313&gt;0),B313&gt;D313),OR(D309="b",D309="B")),B309,IF(OR(AND(OR(B313&gt;0,D313&gt;0),D313&gt;B313),OR(B309="b",B309="B")),D309,"W1"))</f>
        <v>W1</v>
      </c>
      <c r="I309" s="694" t="s">
        <v>35</v>
      </c>
      <c r="J309" s="695" t="str">
        <f>IF(OR(AND(OR(E313&gt;0,G313&gt;0),E313&gt;G313),OR(G309="b",G309="B")),E309,IF(OR(AND(OR(E313&gt;0,G313&gt;0),G313&gt;E313),OR(E309="b",E309="B")),G309,"W2"))</f>
        <v>W2</v>
      </c>
      <c r="K309" s="696" t="s">
        <v>1243</v>
      </c>
      <c r="L309" s="697"/>
      <c r="M309" s="697"/>
      <c r="N309" s="698"/>
      <c r="S309" s="663"/>
      <c r="T309" s="663"/>
      <c r="U309" s="684"/>
      <c r="V309" s="684"/>
      <c r="W309" s="685"/>
      <c r="X309" s="689">
        <v>1</v>
      </c>
      <c r="Y309" s="690" t="s">
        <v>35</v>
      </c>
      <c r="Z309" s="691">
        <v>4</v>
      </c>
      <c r="AA309" s="692">
        <v>2</v>
      </c>
      <c r="AB309" s="690" t="s">
        <v>35</v>
      </c>
      <c r="AC309" s="691">
        <v>3</v>
      </c>
      <c r="AD309" s="693" t="str">
        <f>IF(OR(AND(OR(X313&gt;0,Z313&gt;0),X313&gt;Z313),OR(Z309="b",Z309="B")),X309,IF(OR(AND(OR(X313&gt;0,Z313&gt;0),Z313&gt;X313),OR(X309="b",X309="B")),Z309,"W1"))</f>
        <v>W1</v>
      </c>
      <c r="AE309" s="694" t="s">
        <v>35</v>
      </c>
      <c r="AF309" s="695" t="str">
        <f>IF(OR(AND(OR(AA313&gt;0,AC313&gt;0),AA313&gt;AC313),OR(AC313="b",AC313="B")),AA309,IF(OR(AND(OR(AA313&gt;0,AC313&gt;0),AC313&gt;AA313),OR(AA313="b",AA313="B")),AC309,"W2"))</f>
        <v>W2</v>
      </c>
      <c r="AG309" s="696" t="s">
        <v>1243</v>
      </c>
      <c r="AH309" s="698"/>
      <c r="AI309" s="663"/>
      <c r="AJ309" s="663"/>
      <c r="AK309" s="663"/>
      <c r="AW309" s="166"/>
      <c r="AX309" s="115"/>
      <c r="AY309" s="115"/>
      <c r="AZ309" s="115"/>
      <c r="BA309" s="115"/>
    </row>
    <row r="310" spans="1:80" ht="13.5" hidden="1" customHeight="1" thickBot="1">
      <c r="A310" s="534"/>
      <c r="B310" s="699">
        <f>IF(B314&gt;D314,1,0)</f>
        <v>0</v>
      </c>
      <c r="C310" s="700"/>
      <c r="D310" s="701">
        <f>IF(D314&gt;B314,1,0)</f>
        <v>0</v>
      </c>
      <c r="E310" s="699">
        <f>IF(E314&gt;G314,1,0)</f>
        <v>0</v>
      </c>
      <c r="F310" s="700"/>
      <c r="G310" s="701">
        <f>IF(G314&gt;E314,1,0)</f>
        <v>0</v>
      </c>
      <c r="H310" s="699">
        <f>IF(H314&gt;J314,1,0)</f>
        <v>0</v>
      </c>
      <c r="I310" s="700"/>
      <c r="J310" s="701">
        <f>IF(J314&gt;H314,1,0)</f>
        <v>0</v>
      </c>
      <c r="K310" s="702"/>
      <c r="L310" s="703"/>
      <c r="M310" s="703"/>
      <c r="N310" s="704"/>
      <c r="S310" s="663"/>
      <c r="T310" s="663"/>
      <c r="U310" s="684"/>
      <c r="V310" s="684"/>
      <c r="W310" s="685"/>
      <c r="X310" s="699">
        <f>IF(X314&gt;Z314,1,0)</f>
        <v>0</v>
      </c>
      <c r="Y310" s="700"/>
      <c r="Z310" s="701">
        <f>IF(Z314&gt;X314,1,0)</f>
        <v>0</v>
      </c>
      <c r="AA310" s="699">
        <f>IF(AA314&gt;AC314,1,0)</f>
        <v>0</v>
      </c>
      <c r="AB310" s="700"/>
      <c r="AC310" s="701">
        <f>IF(AC314&gt;AA314,1,0)</f>
        <v>0</v>
      </c>
      <c r="AD310" s="699">
        <f>IF(AD314&gt;AF314,1,0)</f>
        <v>0</v>
      </c>
      <c r="AE310" s="700"/>
      <c r="AF310" s="701">
        <f>IF(AF314&gt;AD314,1,0)</f>
        <v>0</v>
      </c>
      <c r="AG310" s="705"/>
      <c r="AH310" s="706"/>
      <c r="AI310" s="663"/>
      <c r="AJ310" s="663"/>
      <c r="AK310" s="663"/>
      <c r="AW310" s="166"/>
      <c r="AX310" s="115"/>
      <c r="AY310" s="115"/>
      <c r="AZ310" s="115"/>
      <c r="BA310" s="115"/>
    </row>
    <row r="311" spans="1:80" ht="13.5" hidden="1" customHeight="1" thickBot="1">
      <c r="A311" s="534"/>
      <c r="B311" s="699">
        <f>IF(B315&gt;D315,1,0)</f>
        <v>0</v>
      </c>
      <c r="C311" s="700"/>
      <c r="D311" s="701">
        <f>IF(D315&gt;B315,1,0)</f>
        <v>0</v>
      </c>
      <c r="E311" s="699">
        <f>IF(E315&gt;G315,1,0)</f>
        <v>0</v>
      </c>
      <c r="F311" s="700"/>
      <c r="G311" s="701">
        <f>IF(G315&gt;E315,1,0)</f>
        <v>0</v>
      </c>
      <c r="H311" s="699">
        <f>IF(H315&gt;J315,1,0)</f>
        <v>0</v>
      </c>
      <c r="I311" s="700"/>
      <c r="J311" s="701">
        <f>IF(J315&gt;H315,1,0)</f>
        <v>0</v>
      </c>
      <c r="K311" s="702"/>
      <c r="L311" s="703"/>
      <c r="M311" s="703"/>
      <c r="N311" s="704"/>
      <c r="S311" s="663"/>
      <c r="T311" s="663"/>
      <c r="U311" s="684"/>
      <c r="V311" s="684"/>
      <c r="W311" s="685"/>
      <c r="X311" s="699">
        <f>IF(X315&gt;Z315,1,0)</f>
        <v>0</v>
      </c>
      <c r="Y311" s="700"/>
      <c r="Z311" s="701">
        <f>IF(Z315&gt;X315,1,0)</f>
        <v>0</v>
      </c>
      <c r="AA311" s="699">
        <f>IF(AA315&gt;AC315,1,0)</f>
        <v>0</v>
      </c>
      <c r="AB311" s="700"/>
      <c r="AC311" s="701">
        <f>IF(AC315&gt;AA315,1,0)</f>
        <v>0</v>
      </c>
      <c r="AD311" s="699">
        <f>IF(AD315&gt;AF315,1,0)</f>
        <v>0</v>
      </c>
      <c r="AE311" s="700"/>
      <c r="AF311" s="701">
        <f>IF(AF315&gt;AD315,1,0)</f>
        <v>0</v>
      </c>
      <c r="AG311" s="705"/>
      <c r="AH311" s="706"/>
      <c r="AI311" s="663"/>
      <c r="AJ311" s="663"/>
      <c r="AK311" s="663"/>
      <c r="AW311" s="166"/>
      <c r="AX311" s="115"/>
      <c r="AY311" s="115"/>
      <c r="AZ311" s="115"/>
      <c r="BA311" s="115"/>
    </row>
    <row r="312" spans="1:80" ht="13.5" hidden="1" customHeight="1" thickBot="1">
      <c r="A312" s="534"/>
      <c r="B312" s="699">
        <f>IF(B316&gt;D316,1,0)</f>
        <v>0</v>
      </c>
      <c r="C312" s="700"/>
      <c r="D312" s="701">
        <f>IF(D316&gt;B316,1,0)</f>
        <v>0</v>
      </c>
      <c r="E312" s="699">
        <f>IF(E316&gt;G316,1,0)</f>
        <v>0</v>
      </c>
      <c r="F312" s="700"/>
      <c r="G312" s="701">
        <f>IF(G316&gt;E316,1,0)</f>
        <v>0</v>
      </c>
      <c r="H312" s="699">
        <f>IF(H316&gt;J316,1,0)</f>
        <v>0</v>
      </c>
      <c r="I312" s="700"/>
      <c r="J312" s="701">
        <f>IF(J316&gt;H316,1,0)</f>
        <v>0</v>
      </c>
      <c r="K312" s="702"/>
      <c r="L312" s="703"/>
      <c r="M312" s="703"/>
      <c r="N312" s="704"/>
      <c r="S312" s="663"/>
      <c r="T312" s="663"/>
      <c r="U312" s="684"/>
      <c r="V312" s="684"/>
      <c r="W312" s="685"/>
      <c r="X312" s="699">
        <f>IF(X316&gt;Z316,1,0)</f>
        <v>0</v>
      </c>
      <c r="Y312" s="700"/>
      <c r="Z312" s="701">
        <f>IF(Z316&gt;X316,1,0)</f>
        <v>0</v>
      </c>
      <c r="AA312" s="699">
        <f>IF(AA316&gt;AC316,1,0)</f>
        <v>0</v>
      </c>
      <c r="AB312" s="700"/>
      <c r="AC312" s="701">
        <f>IF(AC316&gt;AA316,1,0)</f>
        <v>0</v>
      </c>
      <c r="AD312" s="699">
        <f>IF(AD316&gt;AF316,1,0)</f>
        <v>0</v>
      </c>
      <c r="AE312" s="700"/>
      <c r="AF312" s="701">
        <f>IF(AF316&gt;AD316,1,0)</f>
        <v>0</v>
      </c>
      <c r="AG312" s="705"/>
      <c r="AH312" s="706"/>
      <c r="AI312" s="663"/>
      <c r="AJ312" s="663"/>
      <c r="AK312" s="663"/>
      <c r="AW312" s="166"/>
      <c r="AX312" s="115"/>
      <c r="AY312" s="115"/>
      <c r="AZ312" s="115"/>
      <c r="BA312" s="115"/>
    </row>
    <row r="313" spans="1:80" ht="13.5" hidden="1" customHeight="1" thickBot="1">
      <c r="A313" s="534"/>
      <c r="B313" s="699">
        <f>SUM(B310:B312)</f>
        <v>0</v>
      </c>
      <c r="C313" s="700"/>
      <c r="D313" s="699">
        <f>SUM(D310:D312)</f>
        <v>0</v>
      </c>
      <c r="E313" s="699">
        <f>SUM(E310:E312)</f>
        <v>0</v>
      </c>
      <c r="F313" s="700"/>
      <c r="G313" s="699">
        <f>SUM(G310:G312)</f>
        <v>0</v>
      </c>
      <c r="H313" s="699">
        <f>SUM(H310:H312)</f>
        <v>0</v>
      </c>
      <c r="I313" s="700"/>
      <c r="J313" s="699">
        <f>SUM(J310:J312)</f>
        <v>0</v>
      </c>
      <c r="K313" s="702"/>
      <c r="L313" s="703"/>
      <c r="M313" s="703"/>
      <c r="N313" s="704"/>
      <c r="S313" s="663"/>
      <c r="T313" s="663"/>
      <c r="U313" s="684"/>
      <c r="V313" s="684"/>
      <c r="W313" s="685"/>
      <c r="X313" s="699">
        <f>SUM(X310:X312)</f>
        <v>0</v>
      </c>
      <c r="Y313" s="700"/>
      <c r="Z313" s="699">
        <f>SUM(Z310:Z312)</f>
        <v>0</v>
      </c>
      <c r="AA313" s="699">
        <f>SUM(AA310:AA312)</f>
        <v>0</v>
      </c>
      <c r="AB313" s="700"/>
      <c r="AC313" s="699">
        <f>SUM(AC310:AC312)</f>
        <v>0</v>
      </c>
      <c r="AD313" s="699">
        <f>SUM(AD310:AD312)</f>
        <v>0</v>
      </c>
      <c r="AE313" s="700"/>
      <c r="AF313" s="699">
        <f>SUM(AF310:AF312)</f>
        <v>0</v>
      </c>
      <c r="AG313" s="705"/>
      <c r="AH313" s="706"/>
      <c r="AI313" s="663"/>
      <c r="AJ313" s="663"/>
      <c r="AK313" s="663"/>
      <c r="AW313" s="166"/>
      <c r="AX313" s="115"/>
      <c r="AY313" s="115"/>
      <c r="AZ313" s="115"/>
      <c r="BA313" s="115"/>
    </row>
    <row r="314" spans="1:80" ht="12.75" customHeight="1">
      <c r="A314" s="131" t="s">
        <v>36</v>
      </c>
      <c r="B314" s="707"/>
      <c r="C314" s="113" t="s">
        <v>37</v>
      </c>
      <c r="D314" s="708"/>
      <c r="E314" s="709"/>
      <c r="F314" s="113" t="s">
        <v>37</v>
      </c>
      <c r="G314" s="708"/>
      <c r="H314" s="709"/>
      <c r="I314" s="113" t="s">
        <v>37</v>
      </c>
      <c r="J314" s="710"/>
      <c r="K314" s="711" t="str">
        <f>IF(AND(OR(H313&gt;0,J313&gt;0),AND(1&lt;=H309,H309&lt;=4),AND(1&lt;=J309,J309&lt;=4)),IF(H313&gt;J313,H309,IF(J313&gt;H313,J309,"")),"")</f>
        <v/>
      </c>
      <c r="L314" s="712"/>
      <c r="M314" s="712"/>
      <c r="N314" s="713"/>
      <c r="S314" s="663"/>
      <c r="T314" s="663"/>
      <c r="U314" s="714"/>
      <c r="V314" s="714"/>
      <c r="W314" s="131" t="s">
        <v>36</v>
      </c>
      <c r="X314" s="707"/>
      <c r="Y314" s="113" t="s">
        <v>37</v>
      </c>
      <c r="Z314" s="708"/>
      <c r="AA314" s="709"/>
      <c r="AB314" s="113" t="s">
        <v>37</v>
      </c>
      <c r="AC314" s="708"/>
      <c r="AD314" s="709"/>
      <c r="AE314" s="113" t="s">
        <v>37</v>
      </c>
      <c r="AF314" s="710"/>
      <c r="AG314" s="711" t="str">
        <f>IF(AND(OR(AD313&gt;0,AF313&gt;0),AND(1&lt;=AD309,AD309&lt;=4),AND(1&lt;=AF309,AF309&lt;=4)),IF(AD313&gt;AF313,AD309,IF(AF313&gt;AD313,AF309,"")),"")</f>
        <v/>
      </c>
      <c r="AH314" s="713"/>
      <c r="AI314" s="663"/>
      <c r="AJ314" s="663"/>
      <c r="AK314" s="663"/>
      <c r="AW314" s="166"/>
      <c r="AX314" s="115"/>
      <c r="AY314" s="115"/>
      <c r="AZ314" s="115"/>
      <c r="BA314" s="115"/>
    </row>
    <row r="315" spans="1:80" ht="12.75" customHeight="1">
      <c r="A315" s="131" t="s">
        <v>49</v>
      </c>
      <c r="B315" s="707"/>
      <c r="C315" s="113" t="s">
        <v>37</v>
      </c>
      <c r="D315" s="708"/>
      <c r="E315" s="709"/>
      <c r="F315" s="113" t="s">
        <v>37</v>
      </c>
      <c r="G315" s="708"/>
      <c r="H315" s="709"/>
      <c r="I315" s="113" t="s">
        <v>37</v>
      </c>
      <c r="J315" s="710"/>
      <c r="K315" s="715"/>
      <c r="L315" s="716"/>
      <c r="M315" s="716"/>
      <c r="N315" s="717"/>
      <c r="S315" s="663"/>
      <c r="T315" s="663"/>
      <c r="U315" s="714"/>
      <c r="V315" s="714"/>
      <c r="W315" s="131" t="s">
        <v>49</v>
      </c>
      <c r="X315" s="707"/>
      <c r="Y315" s="113" t="s">
        <v>37</v>
      </c>
      <c r="Z315" s="708"/>
      <c r="AA315" s="709"/>
      <c r="AB315" s="113" t="s">
        <v>37</v>
      </c>
      <c r="AC315" s="708"/>
      <c r="AD315" s="709"/>
      <c r="AE315" s="113" t="s">
        <v>37</v>
      </c>
      <c r="AF315" s="710"/>
      <c r="AG315" s="715"/>
      <c r="AH315" s="717"/>
      <c r="AI315" s="663"/>
      <c r="AJ315" s="663"/>
      <c r="AK315" s="663"/>
      <c r="AW315" s="166"/>
      <c r="AX315" s="115"/>
      <c r="AY315" s="115"/>
      <c r="AZ315" s="115"/>
      <c r="BA315" s="115"/>
    </row>
    <row r="316" spans="1:80" ht="13.5" customHeight="1" thickBot="1">
      <c r="A316" s="131" t="s">
        <v>1244</v>
      </c>
      <c r="B316" s="718"/>
      <c r="C316" s="719" t="s">
        <v>37</v>
      </c>
      <c r="D316" s="720"/>
      <c r="E316" s="721"/>
      <c r="F316" s="719" t="s">
        <v>37</v>
      </c>
      <c r="G316" s="720"/>
      <c r="H316" s="721"/>
      <c r="I316" s="719" t="s">
        <v>37</v>
      </c>
      <c r="J316" s="722"/>
      <c r="K316" s="723"/>
      <c r="L316" s="724"/>
      <c r="M316" s="724"/>
      <c r="N316" s="725"/>
      <c r="S316" s="663"/>
      <c r="T316" s="663"/>
      <c r="U316" s="714"/>
      <c r="V316" s="714"/>
      <c r="W316" s="131" t="s">
        <v>1244</v>
      </c>
      <c r="X316" s="718"/>
      <c r="Y316" s="719" t="s">
        <v>37</v>
      </c>
      <c r="Z316" s="720"/>
      <c r="AA316" s="721"/>
      <c r="AB316" s="719" t="s">
        <v>37</v>
      </c>
      <c r="AC316" s="720"/>
      <c r="AD316" s="721"/>
      <c r="AE316" s="719" t="s">
        <v>37</v>
      </c>
      <c r="AF316" s="722"/>
      <c r="AG316" s="723"/>
      <c r="AH316" s="725"/>
      <c r="AI316" s="663"/>
      <c r="AJ316" s="663"/>
      <c r="AK316" s="663"/>
      <c r="AW316" s="166"/>
      <c r="AX316" s="115"/>
      <c r="AY316" s="115"/>
      <c r="AZ316" s="115"/>
      <c r="BA316" s="115"/>
    </row>
    <row r="317" spans="1:80" hidden="1">
      <c r="B317" s="46"/>
      <c r="C317" s="726" t="s">
        <v>223</v>
      </c>
      <c r="D317" s="46" t="s">
        <v>1245</v>
      </c>
      <c r="E317" s="46"/>
      <c r="F317" s="726"/>
      <c r="G317" s="3" t="s">
        <v>1246</v>
      </c>
      <c r="J317" s="3" t="s">
        <v>1247</v>
      </c>
      <c r="X317" s="46"/>
      <c r="Y317" s="726" t="s">
        <v>223</v>
      </c>
      <c r="Z317" s="46" t="s">
        <v>1245</v>
      </c>
      <c r="AA317" s="46"/>
      <c r="AB317" s="726"/>
      <c r="AC317" s="3" t="s">
        <v>1246</v>
      </c>
      <c r="AF317" s="3" t="s">
        <v>1247</v>
      </c>
      <c r="AT317" s="3" t="str">
        <f>B318</f>
        <v>Magnum 12 Blue</v>
      </c>
      <c r="AU317" s="3">
        <f>J318</f>
        <v>1422.8576396200242</v>
      </c>
      <c r="AW317" s="166"/>
      <c r="AX317" s="115"/>
      <c r="AY317" s="115"/>
      <c r="AZ317" s="115"/>
      <c r="BA317" s="115"/>
      <c r="BB317" s="166"/>
      <c r="BC317" s="115"/>
      <c r="BD317" s="115"/>
      <c r="BE317" s="166"/>
      <c r="BF317" s="115"/>
      <c r="BG317" s="115"/>
      <c r="BH317" s="166"/>
      <c r="BI317" s="115"/>
      <c r="BJ317" s="115"/>
      <c r="BK317" s="166"/>
      <c r="BL317" s="115"/>
      <c r="BM317" s="115"/>
      <c r="BN317" s="166"/>
      <c r="BO317" s="115"/>
      <c r="BP317" s="115"/>
      <c r="BQ317" s="166"/>
      <c r="BR317" s="115"/>
      <c r="BS317" s="115"/>
      <c r="BT317" s="166"/>
      <c r="BU317" s="115"/>
      <c r="BV317" s="115"/>
      <c r="BW317" s="166"/>
      <c r="BX317" s="115"/>
      <c r="BY317" s="115"/>
      <c r="BZ317" s="166"/>
      <c r="CA317" s="115"/>
      <c r="CB317" s="115"/>
    </row>
    <row r="318" spans="1:80" hidden="1">
      <c r="A318" s="3">
        <v>1</v>
      </c>
      <c r="B318" s="3" t="str">
        <f>B301</f>
        <v>Magnum 12 Blue</v>
      </c>
      <c r="C318" s="3">
        <f>VLOOKUP(B318,AU$2:AY$22,4,FALSE)</f>
        <v>1422.8576396200242</v>
      </c>
      <c r="D318" s="3">
        <f>IF(A318=B309,B324,IF(A318=D309,D324,C318))</f>
        <v>1422.8576396200242</v>
      </c>
      <c r="G318" s="3">
        <f>IF(A318=E309,E324,IF(A318=G309,G324,D318))</f>
        <v>1422.8576396200242</v>
      </c>
      <c r="J318" s="3">
        <f>IF(A318=H309,H324,IF(A318=J309,J324,G318))</f>
        <v>1422.8576396200242</v>
      </c>
      <c r="V318" s="727"/>
      <c r="W318" s="727">
        <v>1</v>
      </c>
      <c r="X318" s="3" t="str">
        <f>Y301</f>
        <v>Magnum 11 Black</v>
      </c>
      <c r="Y318" s="3">
        <f>VLOOKUP(X318,AU$2:AY$22,4,FALSE)</f>
        <v>1240.6866470437872</v>
      </c>
      <c r="Z318" s="3">
        <f>IF(W318=X309,X324,IF(W318=Z309,Z324,Y318))</f>
        <v>1240.6866470437872</v>
      </c>
      <c r="AC318" s="3">
        <f>IF(W318=AA309,AA324,IF(W318=AC309,AC324,Z318))</f>
        <v>1240.6866470437872</v>
      </c>
      <c r="AF318" s="3">
        <f>IF(W318=AD309,AD324,IF(W318=AF309,AF324,AC318))</f>
        <v>1240.6866470437872</v>
      </c>
      <c r="AT318" s="3" t="str">
        <f>B319</f>
        <v>Magnum Aiken 12 Yellow</v>
      </c>
      <c r="AU318" s="3">
        <f>J319</f>
        <v>1421.7808589388503</v>
      </c>
      <c r="AW318" s="166"/>
      <c r="AX318" s="115"/>
      <c r="AY318" s="115"/>
      <c r="AZ318" s="115"/>
      <c r="BA318" s="115"/>
      <c r="BB318" s="166"/>
      <c r="BC318" s="115"/>
      <c r="BD318" s="115"/>
      <c r="BE318" s="166"/>
      <c r="BF318" s="115"/>
      <c r="BG318" s="115"/>
      <c r="BH318" s="166"/>
      <c r="BI318" s="115"/>
      <c r="BJ318" s="115"/>
      <c r="BK318" s="166"/>
      <c r="BL318" s="115"/>
      <c r="BM318" s="115"/>
      <c r="BN318" s="166"/>
      <c r="BO318" s="115"/>
      <c r="BP318" s="115"/>
      <c r="BQ318" s="166"/>
      <c r="BR318" s="115"/>
      <c r="BS318" s="115"/>
      <c r="BT318" s="166"/>
      <c r="BU318" s="115"/>
      <c r="BV318" s="115"/>
      <c r="BW318" s="166"/>
      <c r="BX318" s="115"/>
      <c r="BY318" s="115"/>
      <c r="BZ318" s="166"/>
      <c r="CA318" s="115"/>
      <c r="CB318" s="115"/>
    </row>
    <row r="319" spans="1:80" hidden="1">
      <c r="A319" s="3">
        <v>2</v>
      </c>
      <c r="B319" s="3" t="str">
        <f>B302</f>
        <v>Magnum Aiken 12 Yellow</v>
      </c>
      <c r="C319" s="3">
        <f>VLOOKUP(B319,AU$2:AY$22,4,FALSE)</f>
        <v>1421.7808589388503</v>
      </c>
      <c r="D319" s="3">
        <f>IF(A319=B309,B324,IF(A319=D309,D324,C319))</f>
        <v>1421.7808589388503</v>
      </c>
      <c r="G319" s="3">
        <f>IF(A319=E309,E324,IF(A319=G309,G324,D319))</f>
        <v>1421.7808589388503</v>
      </c>
      <c r="J319" s="3">
        <f>IF(A319=H309,H324,IF(A319=J309,J324,G319))</f>
        <v>1421.7808589388503</v>
      </c>
      <c r="V319" s="727"/>
      <c r="W319" s="727">
        <v>2</v>
      </c>
      <c r="X319" s="3" t="str">
        <f>Y302</f>
        <v>Foothills Vanessa</v>
      </c>
      <c r="Y319" s="3">
        <f>VLOOKUP(X319,AU$2:AY$22,4,FALSE)</f>
        <v>1223.9169286732151</v>
      </c>
      <c r="Z319" s="3">
        <f>IF(W319=X309,X324,IF(W319=Z309,Z324,Y319))</f>
        <v>1223.9169286732151</v>
      </c>
      <c r="AC319" s="3">
        <f>IF(W319=AA309,AA324,IF(W319=AC309,AC324,Z319))</f>
        <v>1223.9169286732151</v>
      </c>
      <c r="AF319" s="3">
        <f>IF(W319=AD309,AD324,IF(W319=AF309,AF324,AC319))</f>
        <v>1223.9169286732151</v>
      </c>
      <c r="AT319" s="3" t="str">
        <f>B320</f>
        <v>USA 12 Purple</v>
      </c>
      <c r="AU319" s="3">
        <f>J320</f>
        <v>1433.2800128984868</v>
      </c>
      <c r="AW319" s="166"/>
      <c r="AX319" s="115"/>
      <c r="AY319" s="115"/>
      <c r="AZ319" s="115"/>
      <c r="BA319" s="115"/>
      <c r="BB319" s="166"/>
      <c r="BC319" s="115"/>
      <c r="BD319" s="115"/>
      <c r="BE319" s="166"/>
      <c r="BF319" s="115"/>
      <c r="BG319" s="115"/>
      <c r="BH319" s="166"/>
      <c r="BI319" s="115"/>
      <c r="BJ319" s="115"/>
      <c r="BK319" s="166"/>
      <c r="BL319" s="115"/>
      <c r="BM319" s="115"/>
      <c r="BN319" s="166"/>
      <c r="BO319" s="115"/>
      <c r="BP319" s="115"/>
      <c r="BQ319" s="166"/>
      <c r="BR319" s="115"/>
      <c r="BS319" s="115"/>
      <c r="BT319" s="166"/>
      <c r="BU319" s="115"/>
      <c r="BV319" s="115"/>
      <c r="BW319" s="166"/>
      <c r="BX319" s="115"/>
      <c r="BY319" s="115"/>
      <c r="BZ319" s="166"/>
      <c r="CA319" s="115"/>
      <c r="CB319" s="115"/>
    </row>
    <row r="320" spans="1:80" hidden="1">
      <c r="A320" s="3">
        <v>3</v>
      </c>
      <c r="B320" s="3" t="str">
        <f>B303</f>
        <v>USA 12 Purple</v>
      </c>
      <c r="C320" s="3">
        <f>VLOOKUP(B320,AU$2:AY$22,4,FALSE)</f>
        <v>1433.2800128984868</v>
      </c>
      <c r="D320" s="3">
        <f>IF(A320=B309,B324,IF(A320=D309,D324,C320))</f>
        <v>1433.2800128984868</v>
      </c>
      <c r="G320" s="3">
        <f>IF(A320=E309,E324,IF(A320=G309,G324,D320))</f>
        <v>1433.2800128984868</v>
      </c>
      <c r="J320" s="3">
        <f>IF(A320=H309,H324,IF(A320=J309,J324,G320))</f>
        <v>1433.2800128984868</v>
      </c>
      <c r="V320" s="727"/>
      <c r="W320" s="727">
        <v>3</v>
      </c>
      <c r="X320" s="3" t="str">
        <f>Y303</f>
        <v>Intense kids power col</v>
      </c>
      <c r="Y320" s="3">
        <f>VLOOKUP(X320,AU$2:AY$22,4,FALSE)</f>
        <v>1193.0947726176266</v>
      </c>
      <c r="Z320" s="3">
        <f>IF(W320=X309,X324,IF(W320=Z309,Z324,Y320))</f>
        <v>1193.0947726176266</v>
      </c>
      <c r="AC320" s="3">
        <f>IF(W320=AA309,AA324,IF(W320=AC309,AC324,Z320))</f>
        <v>1193.0947726176266</v>
      </c>
      <c r="AF320" s="3">
        <f>IF(W320=AD309,AD324,IF(W320=AF309,AF324,AC320))</f>
        <v>1193.0947726176266</v>
      </c>
      <c r="AT320" s="3" t="str">
        <f>B321</f>
        <v>SC Midlands KP Garnet</v>
      </c>
      <c r="AU320" s="3">
        <f>J321</f>
        <v>1222.6612835415767</v>
      </c>
      <c r="AW320" s="166"/>
      <c r="AX320" s="115"/>
      <c r="AY320" s="115"/>
      <c r="AZ320" s="115"/>
      <c r="BA320" s="115"/>
      <c r="BB320" s="166"/>
      <c r="BC320" s="115"/>
      <c r="BD320" s="115"/>
      <c r="BE320" s="166"/>
      <c r="BF320" s="115"/>
      <c r="BG320" s="115"/>
      <c r="BH320" s="166"/>
      <c r="BI320" s="115"/>
      <c r="BJ320" s="115"/>
      <c r="BK320" s="166"/>
      <c r="BL320" s="115"/>
      <c r="BM320" s="115"/>
      <c r="BN320" s="166"/>
      <c r="BO320" s="115"/>
      <c r="BP320" s="115"/>
      <c r="BQ320" s="166"/>
      <c r="BR320" s="115"/>
      <c r="BS320" s="115"/>
      <c r="BT320" s="166"/>
      <c r="BU320" s="115"/>
      <c r="BV320" s="115"/>
      <c r="BW320" s="166"/>
      <c r="BX320" s="115"/>
      <c r="BY320" s="115"/>
      <c r="BZ320" s="166"/>
      <c r="CA320" s="115"/>
      <c r="CB320" s="115"/>
    </row>
    <row r="321" spans="1:80" hidden="1">
      <c r="A321" s="3">
        <v>4</v>
      </c>
      <c r="B321" s="3" t="str">
        <f>B304</f>
        <v>SC Midlands KP Garnet</v>
      </c>
      <c r="C321" s="3">
        <f>VLOOKUP(B321,AU$2:AY$22,4,FALSE)</f>
        <v>1222.6612835415767</v>
      </c>
      <c r="D321" s="3">
        <f>IF(A321=B309,B324,IF(A321=D309,D324,C321))</f>
        <v>1222.6612835415767</v>
      </c>
      <c r="G321" s="3">
        <f>IF(A321=E309,E324,IF(A321=G309,G324,D321))</f>
        <v>1222.6612835415767</v>
      </c>
      <c r="J321" s="3">
        <f>IF(A321=H309,H324,IF(A321=J309,J324,G321))</f>
        <v>1222.6612835415767</v>
      </c>
      <c r="V321" s="727"/>
      <c r="W321" s="727">
        <v>4</v>
      </c>
      <c r="X321" s="3" t="str">
        <f>Y304</f>
        <v>SC Midlands KP Gray</v>
      </c>
      <c r="Y321" s="3">
        <f>VLOOKUP(X321,AU$2:AY$22,4,FALSE)</f>
        <v>1192.7000067243928</v>
      </c>
      <c r="Z321" s="3">
        <f>IF(W321=X309,X324,IF(W321=Z309,Z324,Y321))</f>
        <v>1192.7000067243928</v>
      </c>
      <c r="AC321" s="3">
        <f>IF(W321=AA309,AA324,IF(W321=AC309,AC324,Z321))</f>
        <v>1192.7000067243928</v>
      </c>
      <c r="AF321" s="3">
        <f>IF(W321=AD309,AD324,IF(W321=AF309,AF324,AC321))</f>
        <v>1192.7000067243928</v>
      </c>
      <c r="AT321" s="3" t="str">
        <f>X318</f>
        <v>Magnum 11 Black</v>
      </c>
      <c r="AU321" s="3">
        <f>AF318</f>
        <v>1240.6866470437872</v>
      </c>
      <c r="AW321" s="166"/>
      <c r="AX321" s="115"/>
      <c r="AY321" s="115"/>
      <c r="AZ321" s="115"/>
      <c r="BA321" s="115"/>
      <c r="BB321" s="166"/>
      <c r="BC321" s="115"/>
      <c r="BD321" s="115"/>
      <c r="BE321" s="166"/>
      <c r="BF321" s="115"/>
      <c r="BG321" s="115"/>
      <c r="BH321" s="166"/>
      <c r="BI321" s="115"/>
      <c r="BJ321" s="115"/>
      <c r="BK321" s="166"/>
      <c r="BL321" s="115"/>
      <c r="BM321" s="115"/>
      <c r="BN321" s="166"/>
      <c r="BO321" s="115"/>
      <c r="BP321" s="115"/>
      <c r="BQ321" s="166"/>
      <c r="BR321" s="115"/>
      <c r="BS321" s="115"/>
      <c r="BT321" s="166"/>
      <c r="BU321" s="115"/>
      <c r="BV321" s="115"/>
      <c r="BW321" s="166"/>
      <c r="BX321" s="115"/>
      <c r="BY321" s="115"/>
      <c r="BZ321" s="166"/>
      <c r="CA321" s="115"/>
      <c r="CB321" s="115"/>
    </row>
    <row r="322" spans="1:80" hidden="1">
      <c r="A322" s="3" t="s">
        <v>225</v>
      </c>
      <c r="B322" s="3">
        <f>VLOOKUP(B309,$A318:$J321,3,FALSE)</f>
        <v>1422.8576396200242</v>
      </c>
      <c r="D322" s="3">
        <f>VLOOKUP(D309,$A318:$J321,3,FALSE)</f>
        <v>1222.6612835415767</v>
      </c>
      <c r="E322" s="3">
        <f>VLOOKUP(E309,$A318:$J321,4,FALSE)</f>
        <v>1421.7808589388503</v>
      </c>
      <c r="G322" s="3">
        <f>VLOOKUP(G309,$A318:$J321,4,FALSE)</f>
        <v>1433.2800128984868</v>
      </c>
      <c r="H322" s="3" t="e">
        <f>VLOOKUP(H309,$A318:$J321,7,FALSE)</f>
        <v>#N/A</v>
      </c>
      <c r="J322" s="3" t="e">
        <f>VLOOKUP(J309,$A318:$J321,7,FALSE)</f>
        <v>#N/A</v>
      </c>
      <c r="U322" s="728" t="s">
        <v>225</v>
      </c>
      <c r="V322" s="728"/>
      <c r="W322" s="728"/>
      <c r="X322" s="3">
        <f>VLOOKUP(X309,$W318:$AF321,3,FALSE)</f>
        <v>1240.6866470437872</v>
      </c>
      <c r="Z322" s="3">
        <f>VLOOKUP(Z309,$W318:$AF321,3,FALSE)</f>
        <v>1192.7000067243928</v>
      </c>
      <c r="AA322" s="3">
        <f>VLOOKUP(AA309,$W318:$AF321,4,FALSE)</f>
        <v>1223.9169286732151</v>
      </c>
      <c r="AC322" s="3">
        <f>VLOOKUP(AC309,$W318:$AF321,4,FALSE)</f>
        <v>1193.0947726176266</v>
      </c>
      <c r="AD322" s="3" t="e">
        <f>VLOOKUP(AD309,$W318:$AF321,7,FALSE)</f>
        <v>#N/A</v>
      </c>
      <c r="AF322" s="3" t="e">
        <f>VLOOKUP(AF309,$W318:$AF321,7,FALSE)</f>
        <v>#N/A</v>
      </c>
      <c r="AT322" s="3" t="str">
        <f>X319</f>
        <v>Foothills Vanessa</v>
      </c>
      <c r="AU322" s="3">
        <f>AF319</f>
        <v>1223.9169286732151</v>
      </c>
      <c r="AW322" s="166"/>
      <c r="AX322" s="115"/>
      <c r="AY322" s="115"/>
      <c r="AZ322" s="115"/>
      <c r="BA322" s="115"/>
      <c r="BB322" s="166"/>
      <c r="BC322" s="115"/>
      <c r="BD322" s="115"/>
      <c r="BE322" s="166"/>
      <c r="BF322" s="115"/>
      <c r="BG322" s="115"/>
      <c r="BH322" s="166"/>
      <c r="BI322" s="115"/>
      <c r="BJ322" s="115"/>
      <c r="BK322" s="166"/>
      <c r="BL322" s="115"/>
      <c r="BM322" s="115"/>
      <c r="BN322" s="166"/>
      <c r="BO322" s="115"/>
      <c r="BP322" s="115"/>
      <c r="BQ322" s="166"/>
      <c r="BR322" s="115"/>
      <c r="BS322" s="115"/>
      <c r="BT322" s="166"/>
      <c r="BU322" s="115"/>
      <c r="BV322" s="115"/>
      <c r="BW322" s="166"/>
      <c r="BX322" s="115"/>
      <c r="BY322" s="115"/>
      <c r="BZ322" s="166"/>
      <c r="CA322" s="115"/>
      <c r="CB322" s="115"/>
    </row>
    <row r="323" spans="1:80" hidden="1">
      <c r="A323" s="173" t="s">
        <v>226</v>
      </c>
      <c r="B323" s="173">
        <f>IF(OR(B313&gt;0,D313&gt;0),1/(1+(10^-((B322-D322)/400)))*(B313+D313),0)</f>
        <v>0</v>
      </c>
      <c r="C323" s="173"/>
      <c r="D323" s="173" t="b">
        <f>IF(OR(B313&gt;0,D313&gt;0),1/(1+(10^-((D322-B322)/400)))*(B313+D313))</f>
        <v>0</v>
      </c>
      <c r="E323" s="173">
        <f>IF(OR(E313&gt;0,G313&gt;0),1/(1+(10^-((E322-G322)/400)))*(E313+G313),0)</f>
        <v>0</v>
      </c>
      <c r="F323" s="173"/>
      <c r="G323" s="173" t="b">
        <f>IF(OR(E313&gt;0,G313&gt;0),1/(1+(10^-((G322-E322)/400)))*(E313+G313))</f>
        <v>0</v>
      </c>
      <c r="H323" s="173">
        <f>IF(OR(H313&gt;0,J313&gt;0),1/(1+(10^-((H322-J322)/400)))*(H313+J313),0)</f>
        <v>0</v>
      </c>
      <c r="I323" s="173"/>
      <c r="J323" s="173" t="b">
        <f>IF(OR(H313&gt;0,J313&gt;0),1/(1+(10^-((J322-H322)/400)))*(H313+J313))</f>
        <v>0</v>
      </c>
      <c r="K323" s="173"/>
      <c r="U323" s="729" t="s">
        <v>226</v>
      </c>
      <c r="V323" s="729"/>
      <c r="W323" s="729"/>
      <c r="X323" s="173">
        <f>IF(OR(X313&gt;0,Z313&gt;0),1/(1+(10^-((X322-Z322)/400)))*(X313+Z313),0)</f>
        <v>0</v>
      </c>
      <c r="Y323" s="173"/>
      <c r="Z323" s="173" t="b">
        <f>IF(OR(X313&gt;0,Z313&gt;0),1/(1+(10^-((Z322-X322)/400)))*(X313+Z313))</f>
        <v>0</v>
      </c>
      <c r="AA323" s="173">
        <f>IF(OR(AA313&gt;0,AC313&gt;0),1/(1+(10^-((AA322-AC322)/400)))*(AA313+AC313),0)</f>
        <v>0</v>
      </c>
      <c r="AB323" s="173"/>
      <c r="AC323" s="173" t="b">
        <f>IF(OR(AA313&gt;0,AC313&gt;0),1/(1+(10^-((AC322-AA322)/400)))*(AA313+AC313))</f>
        <v>0</v>
      </c>
      <c r="AD323" s="173">
        <f>IF(OR(AD313&gt;0,AF313&gt;0),1/(1+(10^-((AD322-AF322)/400)))*(AD313+AF313),0)</f>
        <v>0</v>
      </c>
      <c r="AE323" s="173"/>
      <c r="AF323" s="173" t="b">
        <f>IF(OR(AD313&gt;0,AF313&gt;0),1/(1+(10^-((AF322-AD322)/400)))*(AD313+AF313))</f>
        <v>0</v>
      </c>
      <c r="AT323" s="3" t="str">
        <f>X320</f>
        <v>Intense kids power col</v>
      </c>
      <c r="AU323" s="3">
        <f>AF320</f>
        <v>1193.0947726176266</v>
      </c>
      <c r="AW323" s="166"/>
      <c r="AX323" s="115"/>
      <c r="AY323" s="115"/>
      <c r="AZ323" s="115"/>
      <c r="BA323" s="115"/>
      <c r="BB323" s="166"/>
      <c r="BC323" s="115"/>
      <c r="BD323" s="115"/>
      <c r="BE323" s="166"/>
      <c r="BF323" s="115"/>
      <c r="BG323" s="115"/>
      <c r="BH323" s="166"/>
      <c r="BI323" s="115"/>
      <c r="BJ323" s="115"/>
      <c r="BK323" s="166"/>
      <c r="BL323" s="115"/>
      <c r="BM323" s="115"/>
      <c r="BN323" s="166"/>
      <c r="BO323" s="115"/>
      <c r="BP323" s="115"/>
      <c r="BQ323" s="166"/>
      <c r="BR323" s="115"/>
      <c r="BS323" s="115"/>
      <c r="BT323" s="166"/>
      <c r="BU323" s="115"/>
      <c r="BV323" s="115"/>
      <c r="BW323" s="166"/>
      <c r="BX323" s="115"/>
      <c r="BY323" s="115"/>
      <c r="BZ323" s="166"/>
      <c r="CA323" s="115"/>
      <c r="CB323" s="115"/>
    </row>
    <row r="324" spans="1:80" hidden="1">
      <c r="A324" s="179" t="s">
        <v>227</v>
      </c>
      <c r="B324" s="179">
        <f>B322+(B313-B323)*$BA$2</f>
        <v>1422.8576396200242</v>
      </c>
      <c r="C324" s="179"/>
      <c r="D324" s="179">
        <f>D322+(D313-D323)*$BA$2</f>
        <v>1222.6612835415767</v>
      </c>
      <c r="E324" s="179">
        <f>E322+(E313-E323)*$BA$2</f>
        <v>1421.7808589388503</v>
      </c>
      <c r="G324" s="179">
        <f>G322+(G313-G323)*$BA$2</f>
        <v>1433.2800128984868</v>
      </c>
      <c r="H324" s="179" t="e">
        <f>H322+(H313-H323)*$BA$2</f>
        <v>#N/A</v>
      </c>
      <c r="J324" s="179" t="e">
        <f>J322+(J313-J323)*$BA$2</f>
        <v>#N/A</v>
      </c>
      <c r="K324" s="179"/>
      <c r="U324" s="730" t="s">
        <v>227</v>
      </c>
      <c r="V324" s="730"/>
      <c r="W324" s="730"/>
      <c r="X324" s="179">
        <f>X322+(X313-X323)*$BA$2</f>
        <v>1240.6866470437872</v>
      </c>
      <c r="Y324" s="179"/>
      <c r="Z324" s="179">
        <f>Z322+(Z313-Z323)*$BA$2</f>
        <v>1192.7000067243928</v>
      </c>
      <c r="AA324" s="179">
        <f>AA322+(AA313-AA323)*$BA$2</f>
        <v>1223.9169286732151</v>
      </c>
      <c r="AC324" s="179">
        <f>AC322+(AC313-AC323)*$BA$2</f>
        <v>1193.0947726176266</v>
      </c>
      <c r="AD324" s="179" t="e">
        <f>AD322+(AD313-AD323)*$BA$2</f>
        <v>#N/A</v>
      </c>
      <c r="AF324" s="179" t="e">
        <f>AF322+(AF313-AF323)*$BA$2</f>
        <v>#N/A</v>
      </c>
      <c r="AT324" s="3" t="str">
        <f>X321</f>
        <v>SC Midlands KP Gray</v>
      </c>
      <c r="AU324" s="3">
        <f>AF321</f>
        <v>1192.7000067243928</v>
      </c>
      <c r="AW324" s="166"/>
      <c r="AX324" s="115"/>
      <c r="AY324" s="115"/>
      <c r="AZ324" s="115"/>
      <c r="BA324" s="115"/>
      <c r="BB324" s="166"/>
      <c r="BC324" s="115"/>
      <c r="BD324" s="115"/>
      <c r="BE324" s="166"/>
      <c r="BF324" s="115"/>
      <c r="BG324" s="115"/>
      <c r="BH324" s="166"/>
      <c r="BI324" s="115"/>
      <c r="BJ324" s="115"/>
      <c r="BK324" s="166"/>
      <c r="BL324" s="115"/>
      <c r="BM324" s="115"/>
      <c r="BN324" s="166"/>
      <c r="BO324" s="115"/>
      <c r="BP324" s="115"/>
      <c r="BQ324" s="166"/>
      <c r="BR324" s="115"/>
      <c r="BS324" s="115"/>
      <c r="BT324" s="166"/>
      <c r="BU324" s="115"/>
      <c r="BV324" s="115"/>
      <c r="BW324" s="166"/>
      <c r="BX324" s="115"/>
      <c r="BY324" s="115"/>
      <c r="BZ324" s="166"/>
      <c r="CA324" s="115"/>
      <c r="CB324" s="115"/>
    </row>
    <row r="325" spans="1:80">
      <c r="A325" s="731" t="s">
        <v>1248</v>
      </c>
      <c r="B325" s="731"/>
      <c r="C325" s="731"/>
      <c r="D325" s="731"/>
      <c r="E325" s="731"/>
      <c r="F325" s="731"/>
      <c r="G325" s="731"/>
      <c r="H325" s="731"/>
      <c r="I325" s="731"/>
      <c r="J325" s="731"/>
      <c r="K325" s="731"/>
      <c r="L325" s="731"/>
      <c r="M325" s="731"/>
      <c r="N325" s="731"/>
      <c r="S325" s="663"/>
      <c r="T325" s="663"/>
      <c r="U325" s="714"/>
      <c r="V325" s="714"/>
      <c r="W325" s="731" t="s">
        <v>1248</v>
      </c>
      <c r="X325" s="731"/>
      <c r="Y325" s="731"/>
      <c r="Z325" s="731"/>
      <c r="AA325" s="731"/>
      <c r="AB325" s="731"/>
      <c r="AC325" s="731"/>
      <c r="AD325" s="731"/>
      <c r="AE325" s="731"/>
      <c r="AF325" s="731"/>
      <c r="AG325" s="731"/>
      <c r="AH325" s="731"/>
      <c r="AI325" s="663"/>
      <c r="AJ325" s="663"/>
      <c r="AK325" s="663"/>
      <c r="AW325" s="166"/>
      <c r="AX325" s="115"/>
      <c r="AY325" s="115"/>
      <c r="AZ325" s="115"/>
      <c r="BA325" s="115"/>
    </row>
    <row r="326" spans="1:80">
      <c r="AS326" s="115"/>
      <c r="AT326" s="115"/>
      <c r="AU326" s="115"/>
      <c r="AW326" s="166"/>
      <c r="AX326" s="115"/>
      <c r="AY326" s="115"/>
      <c r="AZ326" s="115"/>
      <c r="BA326" s="115"/>
    </row>
    <row r="327" spans="1:80">
      <c r="A327" s="394" t="s">
        <v>1267</v>
      </c>
      <c r="B327" s="394"/>
      <c r="C327" s="394"/>
      <c r="D327" s="394"/>
      <c r="E327" s="394"/>
      <c r="F327" s="394"/>
      <c r="G327" s="394"/>
      <c r="H327" s="394"/>
      <c r="I327" s="394"/>
      <c r="J327" s="394"/>
      <c r="K327" s="394"/>
      <c r="L327" s="394"/>
      <c r="M327" s="394"/>
      <c r="N327" s="394"/>
      <c r="O327" s="394"/>
      <c r="P327" s="394"/>
      <c r="Q327" s="39"/>
      <c r="S327" s="732"/>
      <c r="T327" s="732"/>
      <c r="U327" s="732"/>
      <c r="AH327" s="663"/>
      <c r="AI327" s="663"/>
      <c r="AJ327" s="663"/>
      <c r="AK327" s="663"/>
      <c r="AL327" s="663"/>
      <c r="AM327" s="663"/>
      <c r="AS327" s="115"/>
      <c r="AT327" s="115"/>
      <c r="AU327" s="115"/>
      <c r="AW327" s="166"/>
      <c r="AX327" s="115"/>
      <c r="AY327" s="115"/>
      <c r="AZ327" s="115"/>
      <c r="BA327" s="115"/>
    </row>
    <row r="328" spans="1:80">
      <c r="S328" s="663"/>
      <c r="T328" s="663"/>
      <c r="U328" s="663"/>
      <c r="AH328" s="663"/>
      <c r="AI328" s="663"/>
      <c r="AJ328" s="663"/>
      <c r="AK328" s="663"/>
      <c r="AL328" s="663"/>
      <c r="AM328" s="663"/>
      <c r="AS328" s="115"/>
      <c r="AT328" s="115"/>
      <c r="AU328" s="115"/>
      <c r="AW328" s="166"/>
      <c r="AX328" s="115"/>
      <c r="AY328" s="115"/>
      <c r="AZ328" s="115"/>
      <c r="BA328" s="115"/>
    </row>
    <row r="329" spans="1:80" ht="13.5" thickBot="1">
      <c r="A329" s="604" t="str">
        <f>IF(B357=1,B349,IF(B357=2,B350,IF(B357=3,B351,IF(B357=4,B352,IF(OR(B357="B",B357="b"),"BYE","invalid")))))</f>
        <v>SC Midlands KP Black</v>
      </c>
      <c r="B329" s="604"/>
      <c r="C329" s="604"/>
      <c r="D329" s="604"/>
      <c r="E329" s="604"/>
      <c r="F329" s="31"/>
      <c r="G329" s="31"/>
      <c r="H329" s="31"/>
      <c r="I329" s="31"/>
      <c r="J329" s="31"/>
      <c r="K329" s="31"/>
      <c r="L329" s="31"/>
      <c r="M329" s="31"/>
      <c r="N329" s="31"/>
      <c r="O329" s="31"/>
      <c r="S329" s="663"/>
      <c r="T329" s="726"/>
      <c r="U329" s="726"/>
      <c r="AH329" s="663"/>
      <c r="AI329" s="663"/>
      <c r="AJ329" s="663"/>
      <c r="AK329" s="663"/>
      <c r="AL329" s="663"/>
      <c r="AM329" s="663"/>
      <c r="AS329" s="115"/>
      <c r="AT329" s="115"/>
      <c r="AU329" s="115"/>
      <c r="AW329" s="166"/>
      <c r="AX329" s="115"/>
      <c r="AY329" s="115"/>
      <c r="AZ329" s="115"/>
      <c r="BA329" s="115"/>
    </row>
    <row r="330" spans="1:80">
      <c r="A330" s="606" t="s">
        <v>1268</v>
      </c>
      <c r="B330" s="606"/>
      <c r="C330" s="606"/>
      <c r="D330" s="606"/>
      <c r="E330" s="606"/>
      <c r="F330" s="607"/>
      <c r="G330" s="31"/>
      <c r="H330" s="31"/>
      <c r="I330" s="31"/>
      <c r="J330" s="31"/>
      <c r="K330" s="31"/>
      <c r="L330" s="31"/>
      <c r="M330" s="31"/>
      <c r="N330" s="31"/>
      <c r="O330" s="31"/>
      <c r="S330" s="663"/>
      <c r="T330" s="733"/>
      <c r="U330" s="733"/>
      <c r="AH330" s="663"/>
      <c r="AI330" s="663"/>
      <c r="AJ330" s="663"/>
      <c r="AK330" s="663"/>
      <c r="AL330" s="663"/>
      <c r="AM330" s="663"/>
      <c r="AS330" s="115"/>
      <c r="AT330" s="115"/>
      <c r="AU330" s="115"/>
      <c r="AW330" s="166"/>
      <c r="AX330" s="115"/>
      <c r="AY330" s="115"/>
      <c r="AZ330" s="115"/>
      <c r="BA330" s="115"/>
    </row>
    <row r="331" spans="1:80">
      <c r="A331" s="31"/>
      <c r="B331" s="31"/>
      <c r="C331" s="31"/>
      <c r="D331" s="31"/>
      <c r="E331" s="31"/>
      <c r="F331" s="607"/>
      <c r="G331" s="31"/>
      <c r="H331" s="31"/>
      <c r="I331" s="31"/>
      <c r="J331" s="31"/>
      <c r="K331" s="31"/>
      <c r="L331" s="31"/>
      <c r="M331" s="31"/>
      <c r="N331" s="31"/>
      <c r="O331" s="31"/>
      <c r="S331" s="663"/>
      <c r="T331" s="663"/>
      <c r="U331" s="663"/>
      <c r="AH331" s="663"/>
      <c r="AI331" s="663"/>
      <c r="AJ331" s="663"/>
      <c r="AK331" s="663"/>
      <c r="AL331" s="663"/>
      <c r="AM331" s="663"/>
      <c r="AS331" s="115"/>
      <c r="AT331" s="115"/>
      <c r="AU331" s="115"/>
      <c r="AW331" s="166"/>
      <c r="AX331" s="115"/>
      <c r="AY331" s="115"/>
      <c r="AZ331" s="115"/>
      <c r="BA331" s="115"/>
    </row>
    <row r="332" spans="1:80" ht="13.5" thickBot="1">
      <c r="A332" s="738"/>
      <c r="B332" s="738"/>
      <c r="C332" s="738"/>
      <c r="D332" s="738"/>
      <c r="E332" s="622"/>
      <c r="F332" s="612" t="str">
        <f>IF(H357=1,B349,IF(H357=2,B350,IF(H357=3,B351,IF(H357=4,B352,"Winner Match 1"))))</f>
        <v>SC Midlands KP Black</v>
      </c>
      <c r="G332" s="613"/>
      <c r="H332" s="613"/>
      <c r="I332" s="613"/>
      <c r="J332" s="613"/>
      <c r="K332" s="613"/>
      <c r="L332" s="613"/>
      <c r="M332" s="613"/>
      <c r="N332" s="613"/>
      <c r="O332" s="31"/>
      <c r="Q332" s="614"/>
      <c r="R332" s="614"/>
      <c r="S332" s="732"/>
      <c r="T332" s="732"/>
      <c r="U332" s="732"/>
      <c r="AH332" s="714"/>
      <c r="AI332" s="714"/>
      <c r="AJ332" s="663"/>
      <c r="AK332" s="663"/>
      <c r="AL332" s="663"/>
      <c r="AM332" s="663"/>
      <c r="AS332" s="115"/>
      <c r="AT332" s="115"/>
      <c r="AU332" s="115"/>
    </row>
    <row r="333" spans="1:80">
      <c r="A333" s="616"/>
      <c r="B333" s="616"/>
      <c r="C333" s="616"/>
      <c r="D333" s="616"/>
      <c r="E333" s="616"/>
      <c r="F333" s="617"/>
      <c r="G333" s="618"/>
      <c r="H333" s="618"/>
      <c r="I333" s="619"/>
      <c r="J333" s="620"/>
      <c r="K333" s="621"/>
      <c r="L333" s="621"/>
      <c r="M333" s="621"/>
      <c r="N333" s="621"/>
      <c r="O333" s="31"/>
      <c r="P333" s="31"/>
      <c r="Q333" s="622"/>
      <c r="R333" s="132"/>
      <c r="S333" s="735"/>
      <c r="T333" s="735"/>
      <c r="U333" s="736"/>
      <c r="V333" s="736"/>
      <c r="W333" s="736"/>
      <c r="X333" s="736"/>
      <c r="Y333" s="736"/>
      <c r="Z333" s="736"/>
      <c r="AA333" s="736"/>
      <c r="AB333" s="663"/>
      <c r="AC333" s="732"/>
      <c r="AD333" s="732"/>
      <c r="AE333" s="732"/>
      <c r="AF333" s="732"/>
      <c r="AG333" s="732"/>
      <c r="AH333" s="732"/>
      <c r="AI333" s="732"/>
      <c r="AJ333" s="663"/>
      <c r="AK333" s="663"/>
      <c r="AL333" s="663"/>
      <c r="AM333" s="663"/>
      <c r="AS333" s="115"/>
      <c r="AT333" s="115"/>
      <c r="AU333" s="115"/>
      <c r="AW333" s="170"/>
      <c r="AX333" s="117"/>
      <c r="AY333" s="117"/>
      <c r="AZ333" s="117"/>
      <c r="BA333" s="117"/>
    </row>
    <row r="334" spans="1:80" ht="13.5" thickBot="1">
      <c r="A334" s="604" t="str">
        <f>IF(D357=1,B349,IF(D357=2,B350,IF(D357=3,B351,IF(D357=4,B352,IF(OR(D357="B",D357="b"),"BYE","invalid")))))</f>
        <v>BYE</v>
      </c>
      <c r="B334" s="604"/>
      <c r="C334" s="604"/>
      <c r="D334" s="604"/>
      <c r="E334" s="625"/>
      <c r="F334" s="607"/>
      <c r="G334" s="31"/>
      <c r="H334" s="31"/>
      <c r="I334" s="31"/>
      <c r="J334" s="607"/>
      <c r="K334" s="31"/>
      <c r="L334" s="31"/>
      <c r="M334" s="31"/>
      <c r="N334" s="31"/>
      <c r="O334" s="31"/>
      <c r="P334" s="31"/>
      <c r="Q334" s="31"/>
      <c r="S334" s="663"/>
      <c r="T334" s="663"/>
      <c r="U334" s="663"/>
      <c r="V334" s="714"/>
      <c r="W334" s="714"/>
      <c r="X334" s="714"/>
      <c r="Y334" s="714"/>
      <c r="Z334" s="714"/>
      <c r="AA334" s="714"/>
      <c r="AB334" s="714"/>
      <c r="AC334" s="663"/>
      <c r="AD334" s="663"/>
      <c r="AE334" s="663"/>
      <c r="AF334" s="663"/>
      <c r="AG334" s="663"/>
      <c r="AH334" s="663"/>
      <c r="AI334" s="663"/>
      <c r="AJ334" s="663"/>
      <c r="AK334" s="663"/>
      <c r="AL334" s="663"/>
      <c r="AM334" s="663"/>
      <c r="AS334" s="115"/>
      <c r="AT334" s="115"/>
      <c r="AU334" s="115"/>
      <c r="AW334" s="170"/>
      <c r="AX334" s="117"/>
      <c r="AY334" s="117"/>
      <c r="AZ334" s="117"/>
      <c r="BA334" s="117"/>
    </row>
    <row r="335" spans="1:80">
      <c r="A335" s="606"/>
      <c r="B335" s="606"/>
      <c r="C335" s="606"/>
      <c r="D335" s="606"/>
      <c r="E335" s="606"/>
      <c r="F335" s="31"/>
      <c r="G335" s="31"/>
      <c r="H335" s="31"/>
      <c r="I335" s="31"/>
      <c r="J335" s="607"/>
      <c r="K335" s="31"/>
      <c r="L335" s="31"/>
      <c r="M335" s="31"/>
      <c r="N335" s="31"/>
      <c r="O335" s="31"/>
      <c r="P335" s="31"/>
      <c r="Q335" s="31"/>
      <c r="S335" s="663"/>
      <c r="T335" s="663"/>
      <c r="U335" s="663"/>
      <c r="V335" s="734"/>
      <c r="W335" s="734"/>
      <c r="X335" s="734"/>
      <c r="Y335" s="734"/>
      <c r="Z335" s="734"/>
      <c r="AA335" s="734"/>
      <c r="AB335" s="734"/>
      <c r="AC335" s="663"/>
      <c r="AD335" s="663"/>
      <c r="AE335" s="663"/>
      <c r="AF335" s="663"/>
      <c r="AG335" s="663"/>
      <c r="AH335" s="663"/>
      <c r="AI335" s="663"/>
      <c r="AJ335" s="663"/>
      <c r="AK335" s="663"/>
      <c r="AL335" s="663"/>
      <c r="AM335" s="663"/>
      <c r="AR335" s="120"/>
      <c r="AS335" s="115"/>
      <c r="AT335" s="115"/>
      <c r="AU335" s="115"/>
      <c r="AV335" s="120"/>
      <c r="AW335" s="170"/>
      <c r="AX335" s="117"/>
      <c r="AY335" s="117"/>
      <c r="AZ335" s="117"/>
      <c r="BA335" s="117"/>
      <c r="BB335" s="120"/>
      <c r="BC335" s="120"/>
    </row>
    <row r="336" spans="1:80">
      <c r="A336" s="31"/>
      <c r="B336" s="31"/>
      <c r="C336" s="31"/>
      <c r="D336" s="31"/>
      <c r="E336" s="31"/>
      <c r="F336" s="615" t="s">
        <v>1222</v>
      </c>
      <c r="G336" s="615"/>
      <c r="H336" s="615"/>
      <c r="I336" s="626"/>
      <c r="J336" s="607"/>
      <c r="K336" s="31"/>
      <c r="L336" s="31"/>
      <c r="M336" s="31"/>
      <c r="N336" s="31"/>
      <c r="O336" s="31"/>
      <c r="P336" s="31"/>
      <c r="Q336" s="31"/>
      <c r="S336" s="663"/>
      <c r="T336" s="663"/>
      <c r="U336" s="663"/>
      <c r="V336" s="663"/>
      <c r="W336" s="663"/>
      <c r="X336" s="732"/>
      <c r="Y336" s="732"/>
      <c r="Z336" s="732"/>
      <c r="AA336" s="663"/>
      <c r="AB336" s="732"/>
      <c r="AC336" s="732"/>
      <c r="AD336" s="732"/>
      <c r="AE336" s="732"/>
      <c r="AF336" s="732"/>
      <c r="AG336" s="663"/>
      <c r="AH336" s="663"/>
      <c r="AI336" s="663"/>
      <c r="AJ336" s="663"/>
      <c r="AK336" s="663"/>
      <c r="AL336" s="663"/>
      <c r="AM336" s="663"/>
      <c r="AS336" s="115"/>
      <c r="AT336" s="115"/>
      <c r="AU336" s="115"/>
      <c r="AW336" s="170"/>
      <c r="AX336" s="117"/>
      <c r="AY336" s="117"/>
      <c r="AZ336" s="117"/>
      <c r="BA336" s="117"/>
    </row>
    <row r="337" spans="1:53" ht="13.5" thickBot="1">
      <c r="A337" s="31"/>
      <c r="B337" s="31"/>
      <c r="C337" s="31"/>
      <c r="D337" s="31"/>
      <c r="E337" s="31"/>
      <c r="F337" s="31"/>
      <c r="G337" s="31"/>
      <c r="H337" s="31"/>
      <c r="I337" s="31"/>
      <c r="J337" s="627" t="str">
        <f>IF(K362=1,B349,IF(K362=2,B350,IF(K362=3,B351,IF(K362=4,B352,"Division Winner"))))</f>
        <v>Division Winner</v>
      </c>
      <c r="K337" s="628"/>
      <c r="L337" s="628"/>
      <c r="M337" s="628"/>
      <c r="N337" s="628"/>
      <c r="O337" s="628"/>
      <c r="P337" s="628"/>
      <c r="Q337" s="628"/>
      <c r="R337" s="605"/>
      <c r="S337" s="663"/>
      <c r="T337" s="663"/>
      <c r="U337" s="663"/>
      <c r="V337" s="663"/>
      <c r="W337" s="663"/>
      <c r="X337" s="663"/>
      <c r="Y337" s="663"/>
      <c r="Z337" s="663"/>
      <c r="AA337" s="663"/>
      <c r="AB337" s="714"/>
      <c r="AC337" s="714"/>
      <c r="AD337" s="714"/>
      <c r="AE337" s="714"/>
      <c r="AF337" s="714"/>
      <c r="AG337" s="737"/>
      <c r="AH337" s="737"/>
      <c r="AI337" s="737"/>
      <c r="AJ337" s="737"/>
      <c r="AK337" s="737"/>
      <c r="AL337" s="714"/>
      <c r="AM337" s="663"/>
      <c r="AS337" s="115"/>
      <c r="AT337" s="115"/>
      <c r="AU337" s="115"/>
      <c r="AW337" s="170"/>
      <c r="AX337" s="117"/>
      <c r="AY337" s="117"/>
      <c r="AZ337" s="117"/>
      <c r="BA337" s="117"/>
    </row>
    <row r="338" spans="1:53" ht="13.5" thickBot="1">
      <c r="A338" s="604" t="str">
        <f>IF(E357=1,B349,IF(E357=2,B350,IF(E357=3,B351,IF(E357=4,B352,IF(OR(E357="B",E357="b"),"BYE","invalid")))))</f>
        <v>Foothills Skylar</v>
      </c>
      <c r="B338" s="604"/>
      <c r="C338" s="604"/>
      <c r="D338" s="604"/>
      <c r="E338" s="604"/>
      <c r="F338" s="616" t="s">
        <v>1269</v>
      </c>
      <c r="G338" s="616"/>
      <c r="H338" s="616"/>
      <c r="I338" s="616"/>
      <c r="J338" s="629" t="s">
        <v>1270</v>
      </c>
      <c r="K338" s="615"/>
      <c r="L338" s="615"/>
      <c r="M338" s="615"/>
      <c r="N338" s="615"/>
      <c r="O338" s="615"/>
      <c r="P338" s="615"/>
      <c r="Q338" s="615"/>
      <c r="S338" s="714"/>
      <c r="T338" s="714"/>
      <c r="U338" s="714"/>
      <c r="V338" s="714"/>
      <c r="W338" s="714"/>
      <c r="X338" s="714"/>
      <c r="Y338" s="714"/>
      <c r="Z338" s="714"/>
      <c r="AA338" s="714"/>
      <c r="AB338" s="714"/>
      <c r="AC338" s="735"/>
      <c r="AD338" s="735"/>
      <c r="AE338" s="735"/>
      <c r="AF338" s="735"/>
      <c r="AG338" s="732"/>
      <c r="AH338" s="732"/>
      <c r="AI338" s="732"/>
      <c r="AJ338" s="732"/>
      <c r="AK338" s="732"/>
      <c r="AL338" s="663"/>
      <c r="AM338" s="663"/>
      <c r="AS338" s="115"/>
      <c r="AT338" s="115"/>
      <c r="AU338" s="115"/>
      <c r="AW338" s="170"/>
      <c r="AX338" s="117"/>
      <c r="AY338" s="117"/>
      <c r="AZ338" s="117"/>
      <c r="BA338" s="117"/>
    </row>
    <row r="339" spans="1:53">
      <c r="A339" s="606" t="s">
        <v>1271</v>
      </c>
      <c r="B339" s="606"/>
      <c r="C339" s="606"/>
      <c r="D339" s="606"/>
      <c r="E339" s="606"/>
      <c r="F339" s="607"/>
      <c r="G339" s="31"/>
      <c r="H339" s="31"/>
      <c r="I339" s="31"/>
      <c r="J339" s="629"/>
      <c r="K339" s="615"/>
      <c r="L339" s="615"/>
      <c r="M339" s="615"/>
      <c r="N339" s="615"/>
      <c r="O339" s="615"/>
      <c r="P339" s="615"/>
      <c r="Q339" s="615"/>
      <c r="R339" s="31"/>
      <c r="S339" s="734"/>
      <c r="T339" s="734"/>
      <c r="U339" s="734"/>
      <c r="V339" s="734"/>
      <c r="W339" s="734"/>
      <c r="X339" s="734"/>
      <c r="Y339" s="734"/>
      <c r="Z339" s="734"/>
      <c r="AA339" s="734"/>
      <c r="AB339" s="734"/>
      <c r="AC339" s="663"/>
      <c r="AD339" s="663"/>
      <c r="AE339" s="663"/>
      <c r="AF339" s="663"/>
      <c r="AG339" s="663"/>
      <c r="AH339" s="663"/>
      <c r="AI339" s="663"/>
      <c r="AJ339" s="663"/>
      <c r="AK339" s="663"/>
      <c r="AL339" s="663"/>
      <c r="AM339" s="663"/>
      <c r="AS339" s="115"/>
      <c r="AT339" s="115"/>
      <c r="AU339" s="115"/>
      <c r="AW339" s="170"/>
      <c r="AX339" s="117"/>
      <c r="AY339" s="117"/>
      <c r="AZ339" s="117"/>
      <c r="BA339" s="117"/>
    </row>
    <row r="340" spans="1:53">
      <c r="A340" s="31"/>
      <c r="B340" s="31"/>
      <c r="C340" s="31"/>
      <c r="D340" s="31"/>
      <c r="E340" s="31"/>
      <c r="F340" s="607"/>
      <c r="G340" s="31"/>
      <c r="H340" s="31"/>
      <c r="I340" s="31"/>
      <c r="J340" s="607"/>
      <c r="K340" s="31"/>
      <c r="L340" s="31"/>
      <c r="M340" s="31"/>
      <c r="N340" s="31"/>
      <c r="O340" s="31"/>
      <c r="Q340" s="31"/>
      <c r="R340" s="31"/>
      <c r="S340" s="663"/>
      <c r="T340" s="663"/>
      <c r="U340" s="663"/>
      <c r="V340" s="663"/>
      <c r="W340" s="663"/>
      <c r="X340" s="663"/>
      <c r="Y340" s="663"/>
      <c r="Z340" s="663"/>
      <c r="AA340" s="663"/>
      <c r="AB340" s="663"/>
      <c r="AC340" s="663"/>
      <c r="AD340" s="663"/>
      <c r="AE340" s="663"/>
      <c r="AF340" s="663"/>
      <c r="AG340" s="663"/>
      <c r="AH340" s="663"/>
      <c r="AI340" s="663"/>
      <c r="AJ340" s="663"/>
      <c r="AK340" s="663"/>
      <c r="AL340" s="663"/>
      <c r="AM340" s="663"/>
      <c r="AS340" s="115"/>
      <c r="AT340" s="115"/>
      <c r="AU340" s="115"/>
      <c r="AW340" s="170"/>
      <c r="AX340" s="117"/>
      <c r="AY340" s="117"/>
      <c r="AZ340" s="117"/>
      <c r="BA340" s="117"/>
    </row>
    <row r="341" spans="1:53" ht="13.5" thickBot="1">
      <c r="A341" s="610" t="str">
        <f>B349&amp;" ref"</f>
        <v>SC Midlands KP Black ref</v>
      </c>
      <c r="B341" s="610"/>
      <c r="C341" s="610"/>
      <c r="D341" s="610"/>
      <c r="E341" s="611"/>
      <c r="F341" s="633"/>
      <c r="G341" s="634"/>
      <c r="H341" s="634"/>
      <c r="I341" s="635"/>
      <c r="J341" s="620"/>
      <c r="K341" s="621"/>
      <c r="L341" s="621"/>
      <c r="M341" s="621"/>
      <c r="N341" s="621"/>
      <c r="O341" s="31"/>
      <c r="R341" s="614"/>
      <c r="S341" s="732"/>
      <c r="T341" s="732"/>
      <c r="U341" s="732"/>
      <c r="V341" s="732"/>
      <c r="W341" s="732"/>
      <c r="X341" s="732"/>
      <c r="Y341" s="732"/>
      <c r="Z341" s="732"/>
      <c r="AA341" s="732"/>
      <c r="AB341" s="663"/>
      <c r="AC341" s="732"/>
      <c r="AD341" s="732"/>
      <c r="AE341" s="732"/>
      <c r="AF341" s="732"/>
      <c r="AG341" s="732"/>
      <c r="AH341" s="732"/>
      <c r="AI341" s="732"/>
      <c r="AJ341" s="663"/>
      <c r="AK341" s="663"/>
      <c r="AL341" s="663"/>
      <c r="AM341" s="663"/>
      <c r="AS341" s="115"/>
      <c r="AT341" s="115"/>
      <c r="AU341" s="115"/>
      <c r="AW341" s="177"/>
      <c r="AX341" s="176"/>
      <c r="AY341" s="176"/>
      <c r="AZ341" s="176"/>
      <c r="BA341" s="176"/>
    </row>
    <row r="342" spans="1:53">
      <c r="A342" s="616" t="s">
        <v>1272</v>
      </c>
      <c r="B342" s="616"/>
      <c r="C342" s="616"/>
      <c r="D342" s="616"/>
      <c r="E342" s="630"/>
      <c r="F342" s="612" t="str">
        <f>IF(J357=1,B349,IF(J357=2,B350,IF(J357=3,B351,IF(J357=4,B352,"Winner Match 2"))))</f>
        <v>Winner Match 2</v>
      </c>
      <c r="G342" s="613"/>
      <c r="H342" s="613"/>
      <c r="I342" s="613"/>
      <c r="J342" s="613"/>
      <c r="K342" s="613"/>
      <c r="L342" s="613"/>
      <c r="M342" s="613"/>
      <c r="N342" s="613"/>
      <c r="O342" s="31"/>
      <c r="Q342" s="622"/>
      <c r="R342" s="622"/>
      <c r="S342" s="663"/>
      <c r="T342" s="735"/>
      <c r="U342" s="735"/>
      <c r="V342" s="735"/>
      <c r="W342" s="735"/>
      <c r="X342" s="735"/>
      <c r="Y342" s="735"/>
      <c r="Z342" s="735"/>
      <c r="AA342" s="735"/>
      <c r="AB342" s="663"/>
      <c r="AC342" s="714"/>
      <c r="AD342" s="714"/>
      <c r="AE342" s="714"/>
      <c r="AF342" s="714"/>
      <c r="AG342" s="714"/>
      <c r="AH342" s="714"/>
      <c r="AI342" s="714"/>
      <c r="AJ342" s="663"/>
      <c r="AK342" s="663"/>
      <c r="AL342" s="663"/>
      <c r="AM342" s="663"/>
      <c r="AS342" s="115"/>
      <c r="AT342" s="115"/>
      <c r="AU342" s="115"/>
      <c r="AW342" s="183"/>
      <c r="AX342" s="182"/>
      <c r="AY342" s="182"/>
      <c r="AZ342" s="182"/>
      <c r="BA342" s="182"/>
    </row>
    <row r="343" spans="1:53" ht="13.5" thickBot="1">
      <c r="A343" s="604" t="str">
        <f>IF(G357=1,B349,IF(G357=2,B350,IF(G357=3,B351,IF(G357=4,B352,IF(OR(G357="B",G357="b"),"BYE","invalid")))))</f>
        <v>SC Midlands KP Silver</v>
      </c>
      <c r="B343" s="604"/>
      <c r="C343" s="604"/>
      <c r="D343" s="604"/>
      <c r="E343" s="625"/>
      <c r="F343" s="607"/>
      <c r="G343" s="31"/>
      <c r="H343" s="31"/>
      <c r="I343" s="31"/>
      <c r="J343" s="31"/>
      <c r="K343" s="31"/>
      <c r="L343" s="31"/>
      <c r="M343" s="31"/>
      <c r="N343" s="31"/>
      <c r="O343" s="31"/>
      <c r="Q343" s="31"/>
      <c r="R343" s="31"/>
      <c r="S343" s="663"/>
      <c r="T343" s="714"/>
      <c r="U343" s="714"/>
      <c r="V343" s="714"/>
      <c r="W343" s="714"/>
      <c r="X343" s="714"/>
      <c r="Y343" s="714"/>
      <c r="Z343" s="714"/>
      <c r="AA343" s="714"/>
      <c r="AB343" s="714"/>
      <c r="AC343" s="663"/>
      <c r="AD343" s="663"/>
      <c r="AE343" s="663"/>
      <c r="AF343" s="663"/>
      <c r="AG343" s="663"/>
      <c r="AH343" s="663"/>
      <c r="AI343" s="663"/>
      <c r="AJ343" s="663"/>
      <c r="AK343" s="663"/>
      <c r="AL343" s="663"/>
      <c r="AM343" s="663"/>
      <c r="AS343" s="115"/>
      <c r="AT343" s="115"/>
      <c r="AU343" s="115"/>
      <c r="AW343" s="183"/>
      <c r="AX343" s="182"/>
      <c r="AY343" s="182"/>
      <c r="AZ343" s="182"/>
      <c r="BA343" s="182"/>
    </row>
    <row r="344" spans="1:53">
      <c r="A344" s="606" t="s">
        <v>1273</v>
      </c>
      <c r="B344" s="606"/>
      <c r="C344" s="606"/>
      <c r="D344" s="606"/>
      <c r="E344" s="606"/>
      <c r="S344" s="663"/>
      <c r="T344" s="734"/>
      <c r="U344" s="734"/>
      <c r="V344" s="734"/>
      <c r="W344" s="734"/>
      <c r="X344" s="734"/>
      <c r="Y344" s="734"/>
      <c r="Z344" s="734"/>
      <c r="AA344" s="734"/>
      <c r="AB344" s="734"/>
      <c r="AC344" s="663"/>
      <c r="AD344" s="663"/>
      <c r="AE344" s="663"/>
      <c r="AF344" s="663"/>
      <c r="AG344" s="663"/>
      <c r="AH344" s="663"/>
      <c r="AI344" s="663"/>
      <c r="AJ344" s="663"/>
      <c r="AK344" s="663"/>
      <c r="AL344" s="663"/>
      <c r="AM344" s="663"/>
      <c r="AS344" s="115"/>
      <c r="AT344" s="115"/>
      <c r="AU344" s="115"/>
      <c r="AW344" s="170"/>
      <c r="AX344" s="117"/>
      <c r="AY344" s="117"/>
      <c r="AZ344" s="117"/>
      <c r="BA344" s="117"/>
    </row>
    <row r="345" spans="1:53">
      <c r="S345" s="663"/>
      <c r="T345" s="663"/>
      <c r="U345" s="663"/>
      <c r="V345" s="663"/>
      <c r="W345" s="663"/>
      <c r="X345" s="663"/>
      <c r="Y345" s="663"/>
      <c r="Z345" s="663"/>
      <c r="AA345" s="663"/>
      <c r="AB345" s="663"/>
      <c r="AC345" s="663"/>
      <c r="AD345" s="663"/>
      <c r="AE345" s="663"/>
      <c r="AF345" s="663"/>
      <c r="AG345" s="663"/>
      <c r="AH345" s="663"/>
      <c r="AI345" s="663"/>
      <c r="AJ345" s="663"/>
      <c r="AK345" s="663"/>
      <c r="AL345" s="663"/>
      <c r="AM345" s="663"/>
      <c r="AS345" s="115"/>
      <c r="AT345" s="115"/>
      <c r="AU345" s="115"/>
      <c r="AW345" s="170"/>
      <c r="AX345" s="117"/>
      <c r="AY345" s="117"/>
      <c r="AZ345" s="117"/>
      <c r="BA345" s="117"/>
    </row>
    <row r="346" spans="1:53">
      <c r="S346" s="663"/>
      <c r="T346" s="663"/>
      <c r="U346" s="663"/>
      <c r="V346" s="663"/>
      <c r="W346" s="663"/>
      <c r="X346" s="663"/>
      <c r="Y346" s="663"/>
      <c r="Z346" s="663"/>
      <c r="AA346" s="663"/>
      <c r="AB346" s="663"/>
      <c r="AC346" s="663"/>
      <c r="AD346" s="663"/>
      <c r="AE346" s="663"/>
      <c r="AF346" s="663"/>
      <c r="AG346" s="663"/>
      <c r="AH346" s="663"/>
      <c r="AI346" s="663"/>
      <c r="AJ346" s="663"/>
      <c r="AK346" s="663"/>
      <c r="AL346" s="663"/>
      <c r="AM346" s="663"/>
      <c r="AS346" s="115"/>
      <c r="AT346" s="115"/>
      <c r="AU346" s="115"/>
    </row>
    <row r="347" spans="1:53" ht="16.5" thickBot="1">
      <c r="A347" s="636" t="s">
        <v>1274</v>
      </c>
      <c r="B347" s="636"/>
      <c r="C347" s="636"/>
      <c r="D347" s="636"/>
      <c r="E347" s="636"/>
      <c r="F347" s="636"/>
      <c r="G347" s="636"/>
      <c r="H347" s="636"/>
      <c r="I347" s="636"/>
      <c r="J347" s="636"/>
      <c r="K347" s="637"/>
      <c r="R347" s="638"/>
      <c r="S347" s="739"/>
      <c r="T347" s="739"/>
      <c r="U347" s="740"/>
      <c r="V347" s="740"/>
      <c r="W347" s="740"/>
      <c r="X347" s="740"/>
      <c r="Y347" s="740"/>
      <c r="Z347" s="740"/>
      <c r="AA347" s="740"/>
      <c r="AB347" s="740"/>
      <c r="AC347" s="740"/>
      <c r="AD347" s="740"/>
      <c r="AE347" s="740"/>
      <c r="AF347" s="740"/>
      <c r="AG347" s="663"/>
      <c r="AH347" s="663"/>
      <c r="AI347" s="663"/>
      <c r="AJ347" s="663"/>
      <c r="AK347" s="663"/>
      <c r="AL347" s="663"/>
      <c r="AM347" s="663"/>
      <c r="AS347" s="115"/>
      <c r="AT347" s="115"/>
      <c r="AU347" s="115"/>
    </row>
    <row r="348" spans="1:53" ht="13.5" thickBot="1">
      <c r="A348" s="639" t="s">
        <v>1232</v>
      </c>
      <c r="B348" s="640" t="s">
        <v>1233</v>
      </c>
      <c r="C348" s="641"/>
      <c r="D348" s="641"/>
      <c r="E348" s="641"/>
      <c r="F348" s="641"/>
      <c r="G348" s="641"/>
      <c r="H348" s="641"/>
      <c r="I348" s="641"/>
      <c r="J348" s="642"/>
      <c r="K348" s="643" t="s">
        <v>1234</v>
      </c>
      <c r="L348" s="644"/>
      <c r="M348" s="644"/>
      <c r="N348" s="644"/>
      <c r="O348" s="644"/>
      <c r="P348" s="644"/>
      <c r="Q348" s="645"/>
      <c r="R348" s="31"/>
      <c r="S348" s="663"/>
      <c r="T348" s="663"/>
      <c r="U348" s="714"/>
      <c r="V348" s="714"/>
      <c r="W348" s="714"/>
      <c r="X348" s="714"/>
      <c r="Y348" s="663"/>
      <c r="Z348" s="663"/>
      <c r="AA348" s="663"/>
      <c r="AB348" s="663"/>
      <c r="AC348" s="663"/>
      <c r="AD348" s="663"/>
      <c r="AE348" s="663"/>
      <c r="AF348" s="663"/>
      <c r="AG348" s="663"/>
      <c r="AH348" s="663"/>
      <c r="AI348" s="663"/>
      <c r="AJ348" s="663"/>
      <c r="AK348" s="663"/>
      <c r="AL348" s="663"/>
      <c r="AM348" s="663"/>
      <c r="AS348" s="115"/>
      <c r="AT348" s="115"/>
      <c r="AU348" s="115"/>
    </row>
    <row r="349" spans="1:53" ht="13.5" thickBot="1">
      <c r="A349" s="639">
        <v>1</v>
      </c>
      <c r="B349" s="649" t="str">
        <f>X271</f>
        <v>SC Midlands KP Black</v>
      </c>
      <c r="C349" s="650"/>
      <c r="D349" s="650"/>
      <c r="E349" s="650"/>
      <c r="F349" s="650"/>
      <c r="G349" s="650"/>
      <c r="H349" s="650"/>
      <c r="I349" s="650"/>
      <c r="J349" s="651"/>
      <c r="K349" s="652" t="str">
        <f>AF271</f>
        <v>fj1scmid1pm</v>
      </c>
      <c r="L349" s="653"/>
      <c r="M349" s="653"/>
      <c r="N349" s="653"/>
      <c r="O349" s="653"/>
      <c r="P349" s="653"/>
      <c r="Q349" s="654"/>
      <c r="R349" s="31"/>
      <c r="S349" s="663"/>
      <c r="T349" s="663"/>
      <c r="U349" s="714"/>
      <c r="V349" s="714"/>
      <c r="W349" s="714"/>
      <c r="X349" s="732"/>
      <c r="Y349" s="732"/>
      <c r="Z349" s="732"/>
      <c r="AA349" s="732"/>
      <c r="AB349" s="732"/>
      <c r="AC349" s="732"/>
      <c r="AD349" s="732"/>
      <c r="AE349" s="732"/>
      <c r="AF349" s="732"/>
      <c r="AG349" s="663"/>
      <c r="AH349" s="663"/>
      <c r="AI349" s="663"/>
      <c r="AJ349" s="663"/>
      <c r="AK349" s="663"/>
      <c r="AL349" s="663"/>
      <c r="AM349" s="663"/>
      <c r="AS349" s="115"/>
      <c r="AT349" s="115"/>
      <c r="AU349" s="115"/>
    </row>
    <row r="350" spans="1:53" ht="13.5" thickBot="1">
      <c r="A350" s="639">
        <v>2</v>
      </c>
      <c r="B350" s="649" t="str">
        <f>AH264</f>
        <v>Foothills Skylar</v>
      </c>
      <c r="C350" s="650"/>
      <c r="D350" s="650"/>
      <c r="E350" s="650"/>
      <c r="F350" s="650"/>
      <c r="G350" s="650"/>
      <c r="H350" s="650"/>
      <c r="I350" s="650"/>
      <c r="J350" s="651"/>
      <c r="K350" s="652" t="str">
        <f>AK264</f>
        <v>fj2footh3pm</v>
      </c>
      <c r="L350" s="653"/>
      <c r="M350" s="653"/>
      <c r="N350" s="653"/>
      <c r="O350" s="653"/>
      <c r="P350" s="653"/>
      <c r="Q350" s="654"/>
      <c r="R350" s="31"/>
      <c r="S350" s="663"/>
      <c r="T350" s="663"/>
      <c r="U350" s="714"/>
      <c r="V350" s="714"/>
      <c r="W350" s="714"/>
      <c r="X350" s="732"/>
      <c r="Y350" s="732"/>
      <c r="Z350" s="732"/>
      <c r="AA350" s="732"/>
      <c r="AB350" s="732"/>
      <c r="AC350" s="732"/>
      <c r="AD350" s="732"/>
      <c r="AE350" s="732"/>
      <c r="AF350" s="732"/>
      <c r="AG350" s="663"/>
      <c r="AH350" s="663"/>
      <c r="AI350" s="663"/>
      <c r="AJ350" s="663"/>
      <c r="AK350" s="663"/>
      <c r="AL350" s="663"/>
      <c r="AM350" s="663"/>
      <c r="AS350" s="115"/>
      <c r="AT350" s="115"/>
      <c r="AU350" s="115"/>
    </row>
    <row r="351" spans="1:53" ht="13.5" thickBot="1">
      <c r="A351" s="639">
        <v>3</v>
      </c>
      <c r="B351" s="649" t="str">
        <f>AH265</f>
        <v>SC Midlands KP Silver</v>
      </c>
      <c r="C351" s="650"/>
      <c r="D351" s="650"/>
      <c r="E351" s="650"/>
      <c r="F351" s="650"/>
      <c r="G351" s="650"/>
      <c r="H351" s="650"/>
      <c r="I351" s="650"/>
      <c r="J351" s="651"/>
      <c r="K351" s="652" t="str">
        <f>AK265</f>
        <v>fj1scmid4pm</v>
      </c>
      <c r="L351" s="653"/>
      <c r="M351" s="653"/>
      <c r="N351" s="653"/>
      <c r="O351" s="653"/>
      <c r="P351" s="653"/>
      <c r="Q351" s="654"/>
      <c r="R351" s="31"/>
      <c r="S351" s="663"/>
      <c r="T351" s="663"/>
      <c r="U351" s="714"/>
      <c r="V351" s="714"/>
      <c r="W351" s="714"/>
      <c r="X351" s="732"/>
      <c r="Y351" s="732"/>
      <c r="Z351" s="732"/>
      <c r="AA351" s="732"/>
      <c r="AB351" s="732"/>
      <c r="AC351" s="732"/>
      <c r="AD351" s="732"/>
      <c r="AE351" s="732"/>
      <c r="AF351" s="732"/>
      <c r="AG351" s="663"/>
      <c r="AH351" s="663"/>
      <c r="AI351" s="663"/>
      <c r="AJ351" s="663"/>
      <c r="AK351" s="663"/>
      <c r="AL351" s="663"/>
      <c r="AM351" s="663"/>
      <c r="AS351" s="115"/>
      <c r="AT351" s="115"/>
      <c r="AU351" s="115"/>
    </row>
    <row r="352" spans="1:53" ht="13.5" thickBot="1">
      <c r="A352" s="639">
        <v>4</v>
      </c>
      <c r="B352" s="741" t="s">
        <v>1235</v>
      </c>
      <c r="C352" s="742"/>
      <c r="D352" s="742"/>
      <c r="E352" s="742"/>
      <c r="F352" s="742"/>
      <c r="G352" s="742"/>
      <c r="H352" s="742"/>
      <c r="I352" s="742"/>
      <c r="J352" s="743"/>
      <c r="K352" s="652"/>
      <c r="L352" s="653"/>
      <c r="M352" s="653"/>
      <c r="N352" s="653"/>
      <c r="O352" s="653"/>
      <c r="P352" s="653"/>
      <c r="Q352" s="654"/>
      <c r="R352" s="31"/>
      <c r="S352" s="663"/>
      <c r="T352" s="663"/>
      <c r="U352" s="714"/>
      <c r="V352" s="714"/>
      <c r="W352" s="714"/>
      <c r="X352" s="732"/>
      <c r="Y352" s="732"/>
      <c r="Z352" s="732"/>
      <c r="AA352" s="732"/>
      <c r="AB352" s="732"/>
      <c r="AC352" s="732"/>
      <c r="AD352" s="732"/>
      <c r="AE352" s="732"/>
      <c r="AF352" s="732"/>
      <c r="AG352" s="663"/>
      <c r="AH352" s="663"/>
      <c r="AI352" s="663"/>
      <c r="AJ352" s="663"/>
      <c r="AK352" s="663"/>
      <c r="AL352" s="663"/>
      <c r="AM352" s="663"/>
      <c r="AS352" s="115"/>
      <c r="AT352" s="115"/>
      <c r="AU352" s="115"/>
    </row>
    <row r="353" spans="1:80" ht="13.5" thickBot="1">
      <c r="S353" s="663"/>
      <c r="T353" s="663"/>
      <c r="U353" s="663"/>
      <c r="V353" s="663"/>
      <c r="W353" s="663"/>
      <c r="X353" s="663"/>
      <c r="Y353" s="663"/>
      <c r="Z353" s="663"/>
      <c r="AA353" s="663"/>
      <c r="AB353" s="663"/>
      <c r="AC353" s="663"/>
      <c r="AD353" s="663"/>
      <c r="AE353" s="663"/>
      <c r="AF353" s="663"/>
      <c r="AG353" s="663"/>
      <c r="AH353" s="663"/>
      <c r="AI353" s="663"/>
      <c r="AJ353" s="663"/>
      <c r="AK353" s="663"/>
      <c r="AL353" s="663"/>
      <c r="AM353" s="663"/>
      <c r="AS353" s="115"/>
      <c r="AT353" s="115"/>
      <c r="AU353" s="115"/>
    </row>
    <row r="354" spans="1:80">
      <c r="B354" s="655" t="s">
        <v>1236</v>
      </c>
      <c r="C354" s="656"/>
      <c r="D354" s="657"/>
      <c r="E354" s="658" t="s">
        <v>1236</v>
      </c>
      <c r="F354" s="656"/>
      <c r="G354" s="657"/>
      <c r="H354" s="658" t="s">
        <v>7</v>
      </c>
      <c r="I354" s="656"/>
      <c r="J354" s="659"/>
      <c r="K354" s="660" t="s">
        <v>1237</v>
      </c>
      <c r="L354" s="661"/>
      <c r="M354" s="661"/>
      <c r="N354" s="661"/>
      <c r="O354" s="661"/>
      <c r="P354" s="661"/>
      <c r="Q354" s="662"/>
      <c r="S354" s="663"/>
      <c r="T354" s="663"/>
      <c r="U354" s="663"/>
      <c r="V354" s="663"/>
      <c r="W354" s="663"/>
      <c r="X354" s="744"/>
      <c r="Y354" s="744"/>
      <c r="Z354" s="744"/>
      <c r="AA354" s="744"/>
      <c r="AB354" s="744"/>
      <c r="AC354" s="744"/>
      <c r="AD354" s="744"/>
      <c r="AE354" s="744"/>
      <c r="AF354" s="744"/>
      <c r="AG354" s="663"/>
      <c r="AH354" s="663"/>
      <c r="AI354" s="663"/>
      <c r="AJ354" s="663"/>
      <c r="AK354" s="663"/>
      <c r="AL354" s="663"/>
      <c r="AM354" s="663"/>
      <c r="AS354" s="115"/>
      <c r="AT354" s="115"/>
      <c r="AU354" s="115"/>
    </row>
    <row r="355" spans="1:80">
      <c r="A355" s="107" t="s">
        <v>1238</v>
      </c>
      <c r="B355" s="666">
        <v>3</v>
      </c>
      <c r="C355" s="667"/>
      <c r="D355" s="668"/>
      <c r="E355" s="669" t="s">
        <v>1239</v>
      </c>
      <c r="F355" s="667"/>
      <c r="G355" s="668"/>
      <c r="H355" s="669" t="s">
        <v>1240</v>
      </c>
      <c r="I355" s="667"/>
      <c r="J355" s="670"/>
      <c r="K355" s="671"/>
      <c r="L355" s="672"/>
      <c r="M355" s="672"/>
      <c r="N355" s="672"/>
      <c r="O355" s="672"/>
      <c r="P355" s="672"/>
      <c r="Q355" s="673"/>
      <c r="S355" s="663"/>
      <c r="T355" s="663"/>
      <c r="U355" s="663"/>
      <c r="V355" s="663"/>
      <c r="W355" s="745"/>
      <c r="X355" s="746"/>
      <c r="Y355" s="746"/>
      <c r="Z355" s="746"/>
      <c r="AA355" s="746"/>
      <c r="AB355" s="746"/>
      <c r="AC355" s="746"/>
      <c r="AD355" s="746"/>
      <c r="AE355" s="746"/>
      <c r="AF355" s="746"/>
      <c r="AG355" s="663"/>
      <c r="AH355" s="663"/>
      <c r="AI355" s="663"/>
      <c r="AJ355" s="663"/>
      <c r="AK355" s="663"/>
      <c r="AL355" s="663"/>
      <c r="AM355" s="663"/>
      <c r="AS355" s="117"/>
      <c r="AT355" s="117"/>
      <c r="AU355" s="117"/>
    </row>
    <row r="356" spans="1:80" ht="13.5" thickBot="1">
      <c r="A356" s="534"/>
      <c r="B356" s="679" t="s">
        <v>30</v>
      </c>
      <c r="C356" s="387"/>
      <c r="D356" s="388"/>
      <c r="E356" s="386" t="s">
        <v>1241</v>
      </c>
      <c r="F356" s="387"/>
      <c r="G356" s="388"/>
      <c r="H356" s="386" t="s">
        <v>1242</v>
      </c>
      <c r="I356" s="387"/>
      <c r="J356" s="680"/>
      <c r="K356" s="681"/>
      <c r="L356" s="682"/>
      <c r="M356" s="682"/>
      <c r="N356" s="682"/>
      <c r="O356" s="682"/>
      <c r="P356" s="682"/>
      <c r="Q356" s="683"/>
      <c r="S356" s="663"/>
      <c r="T356" s="663"/>
      <c r="U356" s="714"/>
      <c r="V356" s="714"/>
      <c r="W356" s="714"/>
      <c r="X356" s="747"/>
      <c r="Y356" s="747"/>
      <c r="Z356" s="747"/>
      <c r="AA356" s="747"/>
      <c r="AB356" s="747"/>
      <c r="AC356" s="747"/>
      <c r="AD356" s="747"/>
      <c r="AE356" s="747"/>
      <c r="AF356" s="747"/>
      <c r="AG356" s="663"/>
      <c r="AH356" s="663"/>
      <c r="AI356" s="663"/>
      <c r="AJ356" s="663"/>
      <c r="AK356" s="663"/>
      <c r="AL356" s="663"/>
      <c r="AM356" s="663"/>
      <c r="AS356" s="117"/>
      <c r="AT356" s="117"/>
      <c r="AU356" s="117"/>
    </row>
    <row r="357" spans="1:80" ht="13.5" thickBot="1">
      <c r="A357" s="534"/>
      <c r="B357" s="689">
        <v>1</v>
      </c>
      <c r="C357" s="690" t="s">
        <v>35</v>
      </c>
      <c r="D357" s="691" t="s">
        <v>294</v>
      </c>
      <c r="E357" s="692">
        <v>2</v>
      </c>
      <c r="F357" s="690" t="s">
        <v>35</v>
      </c>
      <c r="G357" s="691">
        <v>3</v>
      </c>
      <c r="H357" s="693">
        <f>IF(OR(AND(OR(B361&gt;0,D361&gt;0),B361&gt;D361),OR(D357="b",D357="B")),B357,IF(OR(AND(OR(B361&gt;0,D361&gt;0),D361&gt;B361),OR(B357="b",B357="B")),D357,"W1"))</f>
        <v>1</v>
      </c>
      <c r="I357" s="694" t="s">
        <v>35</v>
      </c>
      <c r="J357" s="695" t="str">
        <f>IF(OR(AND(OR(E361&gt;0,G361&gt;0),E361&gt;G361),OR(G357="b",G357="B")),E357,IF(OR(AND(OR(E361&gt;0,G361&gt;0),G361&gt;E361),OR(E357="b",E357="B")),G357,"W2"))</f>
        <v>W2</v>
      </c>
      <c r="K357" s="696" t="s">
        <v>1243</v>
      </c>
      <c r="L357" s="697"/>
      <c r="M357" s="697"/>
      <c r="N357" s="698"/>
      <c r="S357" s="663"/>
      <c r="T357" s="663"/>
      <c r="U357" s="714"/>
      <c r="V357" s="714"/>
      <c r="W357" s="714"/>
      <c r="X357" s="750"/>
      <c r="Y357" s="748"/>
      <c r="Z357" s="749"/>
      <c r="AA357" s="750"/>
      <c r="AB357" s="748"/>
      <c r="AC357" s="749"/>
      <c r="AD357" s="750"/>
      <c r="AE357" s="748"/>
      <c r="AF357" s="749"/>
      <c r="AG357" s="747"/>
      <c r="AH357" s="747"/>
      <c r="AI357" s="663"/>
      <c r="AJ357" s="663"/>
      <c r="AK357" s="663"/>
      <c r="AL357" s="663"/>
      <c r="AM357" s="663"/>
    </row>
    <row r="358" spans="1:80" ht="12.75" hidden="1" customHeight="1" thickBot="1">
      <c r="A358" s="534"/>
      <c r="B358" s="699">
        <f>IF(B362&gt;D362,1,0)</f>
        <v>0</v>
      </c>
      <c r="C358" s="700"/>
      <c r="D358" s="701">
        <f>IF(D362&gt;B362,1,0)</f>
        <v>0</v>
      </c>
      <c r="E358" s="699">
        <f>IF(E362&gt;G362,1,0)</f>
        <v>0</v>
      </c>
      <c r="F358" s="700"/>
      <c r="G358" s="701">
        <f>IF(G362&gt;E362,1,0)</f>
        <v>0</v>
      </c>
      <c r="H358" s="699">
        <f>IF(H362&gt;J362,1,0)</f>
        <v>0</v>
      </c>
      <c r="I358" s="700"/>
      <c r="J358" s="701">
        <f>IF(J362&gt;H362,1,0)</f>
        <v>0</v>
      </c>
      <c r="K358" s="702"/>
      <c r="L358" s="703"/>
      <c r="M358" s="703"/>
      <c r="N358" s="704"/>
      <c r="S358" s="663"/>
      <c r="T358" s="663"/>
      <c r="U358" s="714"/>
      <c r="V358" s="714"/>
      <c r="W358" s="714"/>
      <c r="X358" s="751"/>
      <c r="Y358" s="726"/>
      <c r="Z358" s="752"/>
      <c r="AA358" s="751"/>
      <c r="AB358" s="726"/>
      <c r="AC358" s="752"/>
      <c r="AD358" s="751"/>
      <c r="AE358" s="726"/>
      <c r="AF358" s="752"/>
      <c r="AG358" s="820"/>
      <c r="AH358" s="820"/>
      <c r="AI358" s="663"/>
      <c r="AJ358" s="663"/>
      <c r="AK358" s="663"/>
      <c r="AL358" s="663"/>
      <c r="AM358" s="663"/>
    </row>
    <row r="359" spans="1:80" ht="12.75" hidden="1" customHeight="1" thickBot="1">
      <c r="A359" s="534"/>
      <c r="B359" s="699">
        <f>IF(B363&gt;D363,1,0)</f>
        <v>0</v>
      </c>
      <c r="C359" s="700"/>
      <c r="D359" s="701">
        <f>IF(D363&gt;B363,1,0)</f>
        <v>0</v>
      </c>
      <c r="E359" s="699">
        <f>IF(E363&gt;G363,1,0)</f>
        <v>0</v>
      </c>
      <c r="F359" s="700"/>
      <c r="G359" s="701">
        <f>IF(G363&gt;E363,1,0)</f>
        <v>0</v>
      </c>
      <c r="H359" s="699">
        <f>IF(H363&gt;J363,1,0)</f>
        <v>0</v>
      </c>
      <c r="I359" s="700"/>
      <c r="J359" s="701">
        <f>IF(J363&gt;H363,1,0)</f>
        <v>0</v>
      </c>
      <c r="K359" s="702"/>
      <c r="L359" s="703"/>
      <c r="M359" s="703"/>
      <c r="N359" s="704"/>
      <c r="S359" s="663"/>
      <c r="T359" s="663"/>
      <c r="U359" s="714"/>
      <c r="V359" s="714"/>
      <c r="W359" s="714"/>
      <c r="X359" s="751"/>
      <c r="Y359" s="726"/>
      <c r="Z359" s="752"/>
      <c r="AA359" s="751"/>
      <c r="AB359" s="726"/>
      <c r="AC359" s="752"/>
      <c r="AD359" s="751"/>
      <c r="AE359" s="726"/>
      <c r="AF359" s="752"/>
      <c r="AG359" s="820"/>
      <c r="AH359" s="820"/>
      <c r="AI359" s="663"/>
      <c r="AJ359" s="663"/>
      <c r="AK359" s="663"/>
      <c r="AL359" s="663"/>
      <c r="AM359" s="663"/>
    </row>
    <row r="360" spans="1:80" ht="13.5" hidden="1" customHeight="1" thickBot="1">
      <c r="A360" s="534"/>
      <c r="B360" s="699">
        <f>IF(B364&gt;D364,1,0)</f>
        <v>0</v>
      </c>
      <c r="C360" s="700"/>
      <c r="D360" s="701">
        <f>IF(D364&gt;B364,1,0)</f>
        <v>0</v>
      </c>
      <c r="E360" s="699">
        <f>IF(E364&gt;G364,1,0)</f>
        <v>0</v>
      </c>
      <c r="F360" s="700"/>
      <c r="G360" s="701">
        <f>IF(G364&gt;E364,1,0)</f>
        <v>0</v>
      </c>
      <c r="H360" s="699">
        <f>IF(H364&gt;J364,1,0)</f>
        <v>0</v>
      </c>
      <c r="I360" s="700"/>
      <c r="J360" s="701">
        <f>IF(J364&gt;H364,1,0)</f>
        <v>0</v>
      </c>
      <c r="K360" s="702"/>
      <c r="L360" s="703"/>
      <c r="M360" s="703"/>
      <c r="N360" s="704"/>
      <c r="S360" s="663"/>
      <c r="T360" s="663"/>
      <c r="U360" s="714"/>
      <c r="V360" s="714"/>
      <c r="W360" s="714"/>
      <c r="X360" s="751"/>
      <c r="Y360" s="726"/>
      <c r="Z360" s="752"/>
      <c r="AA360" s="751"/>
      <c r="AB360" s="726"/>
      <c r="AC360" s="752"/>
      <c r="AD360" s="751"/>
      <c r="AE360" s="726"/>
      <c r="AF360" s="752"/>
      <c r="AG360" s="820"/>
      <c r="AH360" s="820"/>
      <c r="AI360" s="663"/>
      <c r="AJ360" s="663"/>
      <c r="AK360" s="663"/>
      <c r="AL360" s="663"/>
      <c r="AM360" s="663"/>
    </row>
    <row r="361" spans="1:80" ht="13.5" hidden="1" thickBot="1">
      <c r="A361" s="534"/>
      <c r="B361" s="699">
        <f>SUM(B358:B360)</f>
        <v>0</v>
      </c>
      <c r="C361" s="700"/>
      <c r="D361" s="699">
        <f>SUM(D358:D360)</f>
        <v>0</v>
      </c>
      <c r="E361" s="699">
        <f>SUM(E358:E360)</f>
        <v>0</v>
      </c>
      <c r="F361" s="700"/>
      <c r="G361" s="699">
        <f>SUM(G358:G360)</f>
        <v>0</v>
      </c>
      <c r="H361" s="699">
        <f>SUM(H358:H360)</f>
        <v>0</v>
      </c>
      <c r="I361" s="700"/>
      <c r="J361" s="699">
        <f>SUM(J358:J360)</f>
        <v>0</v>
      </c>
      <c r="K361" s="702"/>
      <c r="L361" s="703"/>
      <c r="M361" s="703"/>
      <c r="N361" s="704"/>
      <c r="S361" s="663"/>
      <c r="T361" s="663"/>
      <c r="U361" s="714"/>
      <c r="V361" s="714"/>
      <c r="W361" s="714"/>
      <c r="X361" s="714"/>
      <c r="Y361" s="714"/>
      <c r="Z361" s="714"/>
      <c r="AA361" s="714"/>
      <c r="AB361" s="714"/>
      <c r="AC361" s="714"/>
      <c r="AD361" s="714"/>
      <c r="AE361" s="714"/>
      <c r="AF361" s="714"/>
      <c r="AG361" s="714"/>
      <c r="AH361" s="714"/>
      <c r="AI361" s="663"/>
      <c r="AJ361" s="663"/>
      <c r="AK361" s="663"/>
      <c r="AL361" s="663"/>
      <c r="AM361" s="663"/>
    </row>
    <row r="362" spans="1:80">
      <c r="A362" s="131" t="s">
        <v>36</v>
      </c>
      <c r="B362" s="707"/>
      <c r="C362" s="113" t="s">
        <v>37</v>
      </c>
      <c r="D362" s="708"/>
      <c r="E362" s="709"/>
      <c r="F362" s="113" t="s">
        <v>37</v>
      </c>
      <c r="G362" s="708"/>
      <c r="H362" s="709"/>
      <c r="I362" s="113" t="s">
        <v>37</v>
      </c>
      <c r="J362" s="710"/>
      <c r="K362" s="711" t="str">
        <f>IF(AND(OR(H361&gt;0,J361&gt;0),AND(1&lt;=H357,H357&lt;=4),AND(1&lt;=J357,J357&lt;=4)),IF(H361&gt;J361,H357,IF(J361&gt;H361,J357,"")),"")</f>
        <v/>
      </c>
      <c r="L362" s="712"/>
      <c r="M362" s="712"/>
      <c r="N362" s="713"/>
    </row>
    <row r="363" spans="1:80">
      <c r="A363" s="131" t="s">
        <v>49</v>
      </c>
      <c r="B363" s="707"/>
      <c r="C363" s="113" t="s">
        <v>37</v>
      </c>
      <c r="D363" s="708"/>
      <c r="E363" s="709"/>
      <c r="F363" s="113" t="s">
        <v>37</v>
      </c>
      <c r="G363" s="708"/>
      <c r="H363" s="709"/>
      <c r="I363" s="113" t="s">
        <v>37</v>
      </c>
      <c r="J363" s="710"/>
      <c r="K363" s="715"/>
      <c r="L363" s="716"/>
      <c r="M363" s="716"/>
      <c r="N363" s="717"/>
    </row>
    <row r="364" spans="1:80" ht="13.5" thickBot="1">
      <c r="A364" s="131" t="s">
        <v>1244</v>
      </c>
      <c r="B364" s="718"/>
      <c r="C364" s="719" t="s">
        <v>37</v>
      </c>
      <c r="D364" s="720"/>
      <c r="E364" s="721"/>
      <c r="F364" s="719" t="s">
        <v>37</v>
      </c>
      <c r="G364" s="720"/>
      <c r="H364" s="721"/>
      <c r="I364" s="719" t="s">
        <v>37</v>
      </c>
      <c r="J364" s="722"/>
      <c r="K364" s="723"/>
      <c r="L364" s="724"/>
      <c r="M364" s="724"/>
      <c r="N364" s="725"/>
    </row>
    <row r="365" spans="1:80" hidden="1">
      <c r="B365" s="46"/>
      <c r="C365" s="726" t="s">
        <v>223</v>
      </c>
      <c r="D365" s="46" t="s">
        <v>1245</v>
      </c>
      <c r="E365" s="46"/>
      <c r="F365" s="726"/>
      <c r="G365" s="3" t="s">
        <v>1246</v>
      </c>
      <c r="J365" s="3" t="s">
        <v>1247</v>
      </c>
      <c r="AT365" s="3" t="str">
        <f>B366</f>
        <v>SC Midlands KP Black</v>
      </c>
      <c r="AU365" s="3">
        <f>J366</f>
        <v>1191.7380642227506</v>
      </c>
      <c r="BB365" s="166"/>
      <c r="BC365" s="115"/>
      <c r="BD365" s="115"/>
      <c r="BE365" s="166"/>
      <c r="BF365" s="115"/>
      <c r="BG365" s="115"/>
      <c r="BH365" s="166"/>
      <c r="BI365" s="115"/>
      <c r="BJ365" s="115"/>
      <c r="BK365" s="166"/>
      <c r="BL365" s="115"/>
      <c r="BM365" s="115"/>
      <c r="BN365" s="166"/>
      <c r="BO365" s="115"/>
      <c r="BP365" s="115"/>
      <c r="BQ365" s="166"/>
      <c r="BR365" s="115"/>
      <c r="BS365" s="115"/>
      <c r="BT365" s="166"/>
      <c r="BU365" s="115"/>
      <c r="BV365" s="115"/>
      <c r="BW365" s="166"/>
      <c r="BX365" s="115"/>
      <c r="BY365" s="115"/>
      <c r="BZ365" s="166"/>
      <c r="CA365" s="115"/>
      <c r="CB365" s="115"/>
    </row>
    <row r="366" spans="1:80" hidden="1">
      <c r="A366" s="3">
        <v>1</v>
      </c>
      <c r="B366" s="3" t="str">
        <f>B349</f>
        <v>SC Midlands KP Black</v>
      </c>
      <c r="C366" s="3">
        <f>VLOOKUP(B366,AU$2:AY$22,4,FALSE)</f>
        <v>1191.7380642227506</v>
      </c>
      <c r="D366" s="3">
        <f>IF(A366=B357,B372,IF(A366=D357,D372,C366))</f>
        <v>1191.7380642227506</v>
      </c>
      <c r="G366" s="3">
        <f>IF(A366=E357,E372,IF(A366=G357,G372,D366))</f>
        <v>1191.7380642227506</v>
      </c>
      <c r="J366" s="3">
        <f>IF(A366=H357,H372,IF(A366=J357,J372,G366))</f>
        <v>1191.7380642227506</v>
      </c>
      <c r="AT366" s="3" t="str">
        <f>B367</f>
        <v>Foothills Skylar</v>
      </c>
      <c r="AU366" s="3">
        <f>J367</f>
        <v>1161.3863042207724</v>
      </c>
      <c r="BB366" s="166"/>
      <c r="BC366" s="115"/>
      <c r="BD366" s="115"/>
      <c r="BE366" s="166"/>
      <c r="BF366" s="115"/>
      <c r="BG366" s="115"/>
      <c r="BH366" s="166"/>
      <c r="BI366" s="115"/>
      <c r="BJ366" s="115"/>
      <c r="BK366" s="166"/>
      <c r="BL366" s="115"/>
      <c r="BM366" s="115"/>
      <c r="BN366" s="166"/>
      <c r="BO366" s="115"/>
      <c r="BP366" s="115"/>
      <c r="BQ366" s="166"/>
      <c r="BR366" s="115"/>
      <c r="BS366" s="115"/>
      <c r="BT366" s="166"/>
      <c r="BU366" s="115"/>
      <c r="BV366" s="115"/>
      <c r="BW366" s="166"/>
      <c r="BX366" s="115"/>
      <c r="BY366" s="115"/>
      <c r="BZ366" s="166"/>
      <c r="CA366" s="115"/>
      <c r="CB366" s="115"/>
    </row>
    <row r="367" spans="1:80" hidden="1">
      <c r="A367" s="3">
        <v>2</v>
      </c>
      <c r="B367" s="3" t="str">
        <f>B350</f>
        <v>Foothills Skylar</v>
      </c>
      <c r="C367" s="3">
        <f>VLOOKUP(B367,AU$2:AY$22,4,FALSE)</f>
        <v>1161.3863042207724</v>
      </c>
      <c r="D367" s="3">
        <f>IF(A367=B357,B372,IF(A367=D357,D372,C367))</f>
        <v>1161.3863042207724</v>
      </c>
      <c r="G367" s="3">
        <f>IF(A367=E357,E372,IF(A367=G357,G372,D367))</f>
        <v>1161.3863042207724</v>
      </c>
      <c r="J367" s="3">
        <f>IF(A367=H357,H372,IF(A367=J357,J372,G367))</f>
        <v>1161.3863042207724</v>
      </c>
      <c r="AT367" s="3" t="str">
        <f>B368</f>
        <v>SC Midlands KP Silver</v>
      </c>
      <c r="AU367" s="3">
        <f>J368</f>
        <v>1162.564148165184</v>
      </c>
      <c r="BB367" s="166"/>
      <c r="BC367" s="115"/>
      <c r="BD367" s="115"/>
      <c r="BE367" s="166"/>
      <c r="BF367" s="115"/>
      <c r="BG367" s="115"/>
      <c r="BH367" s="166"/>
      <c r="BI367" s="115"/>
      <c r="BJ367" s="115"/>
      <c r="BK367" s="166"/>
      <c r="BL367" s="115"/>
      <c r="BM367" s="115"/>
      <c r="BN367" s="166"/>
      <c r="BO367" s="115"/>
      <c r="BP367" s="115"/>
      <c r="BQ367" s="166"/>
      <c r="BR367" s="115"/>
      <c r="BS367" s="115"/>
      <c r="BT367" s="166"/>
      <c r="BU367" s="115"/>
      <c r="BV367" s="115"/>
      <c r="BW367" s="166"/>
      <c r="BX367" s="115"/>
      <c r="BY367" s="115"/>
      <c r="BZ367" s="166"/>
      <c r="CA367" s="115"/>
      <c r="CB367" s="115"/>
    </row>
    <row r="368" spans="1:80" hidden="1">
      <c r="A368" s="3">
        <v>3</v>
      </c>
      <c r="B368" s="3" t="str">
        <f>B351</f>
        <v>SC Midlands KP Silver</v>
      </c>
      <c r="C368" s="3">
        <f>VLOOKUP(B368,AU$2:AY$22,4,FALSE)</f>
        <v>1162.564148165184</v>
      </c>
      <c r="D368" s="3">
        <f>IF(A368=B357,B372,IF(A368=D357,D372,C368))</f>
        <v>1162.564148165184</v>
      </c>
      <c r="G368" s="3">
        <f>IF(A368=E357,E372,IF(A368=G357,G372,D368))</f>
        <v>1162.564148165184</v>
      </c>
      <c r="J368" s="3">
        <f>IF(A368=H357,H372,IF(A368=J357,J372,G368))</f>
        <v>1162.564148165184</v>
      </c>
      <c r="AT368" s="3" t="str">
        <f>B369</f>
        <v>BYE</v>
      </c>
      <c r="AU368" s="3" t="e">
        <f>J369</f>
        <v>#N/A</v>
      </c>
      <c r="BB368" s="166"/>
      <c r="BC368" s="115"/>
      <c r="BD368" s="115"/>
      <c r="BE368" s="166"/>
      <c r="BF368" s="115"/>
      <c r="BG368" s="115"/>
      <c r="BH368" s="166"/>
      <c r="BI368" s="115"/>
      <c r="BJ368" s="115"/>
      <c r="BK368" s="166"/>
      <c r="BL368" s="115"/>
      <c r="BM368" s="115"/>
      <c r="BN368" s="166"/>
      <c r="BO368" s="115"/>
      <c r="BP368" s="115"/>
      <c r="BQ368" s="166"/>
      <c r="BR368" s="115"/>
      <c r="BS368" s="115"/>
      <c r="BT368" s="166"/>
      <c r="BU368" s="115"/>
      <c r="BV368" s="115"/>
      <c r="BW368" s="166"/>
      <c r="BX368" s="115"/>
      <c r="BY368" s="115"/>
      <c r="BZ368" s="166"/>
      <c r="CA368" s="115"/>
      <c r="CB368" s="115"/>
    </row>
    <row r="369" spans="1:80" hidden="1">
      <c r="A369" s="3">
        <v>4</v>
      </c>
      <c r="B369" s="3" t="str">
        <f>B352</f>
        <v>BYE</v>
      </c>
      <c r="C369" s="3" t="e">
        <f>VLOOKUP(B369,AU$2:AY$22,4,FALSE)</f>
        <v>#N/A</v>
      </c>
      <c r="D369" s="3" t="e">
        <f>IF(A369=B357,B372,IF(A369=D357,D372,C369))</f>
        <v>#N/A</v>
      </c>
      <c r="G369" s="3" t="e">
        <f>IF(A369=E357,E372,IF(A369=G357,G372,D369))</f>
        <v>#N/A</v>
      </c>
      <c r="J369" s="3" t="e">
        <f>IF(A369=H357,H372,IF(A369=J357,J372,G369))</f>
        <v>#N/A</v>
      </c>
      <c r="AT369" s="3">
        <f>X366</f>
        <v>0</v>
      </c>
      <c r="AU369" s="3">
        <f>AF366</f>
        <v>0</v>
      </c>
      <c r="BB369" s="166"/>
      <c r="BC369" s="115"/>
      <c r="BD369" s="115"/>
      <c r="BE369" s="166"/>
      <c r="BF369" s="115"/>
      <c r="BG369" s="115"/>
      <c r="BH369" s="166"/>
      <c r="BI369" s="115"/>
      <c r="BJ369" s="115"/>
      <c r="BK369" s="166"/>
      <c r="BL369" s="115"/>
      <c r="BM369" s="115"/>
      <c r="BN369" s="166"/>
      <c r="BO369" s="115"/>
      <c r="BP369" s="115"/>
      <c r="BQ369" s="166"/>
      <c r="BR369" s="115"/>
      <c r="BS369" s="115"/>
      <c r="BT369" s="166"/>
      <c r="BU369" s="115"/>
      <c r="BV369" s="115"/>
      <c r="BW369" s="166"/>
      <c r="BX369" s="115"/>
      <c r="BY369" s="115"/>
      <c r="BZ369" s="166"/>
      <c r="CA369" s="115"/>
      <c r="CB369" s="115"/>
    </row>
    <row r="370" spans="1:80" hidden="1">
      <c r="A370" s="3" t="s">
        <v>225</v>
      </c>
      <c r="B370" s="3">
        <f>VLOOKUP(B357,$A366:$J369,3,FALSE)</f>
        <v>1191.7380642227506</v>
      </c>
      <c r="D370" s="3">
        <f>IF(AND(D357&lt;&gt;"b", D357&lt;&gt;"B"),VLOOKUP(D357,$A366:$J369,3,FALSE),0)</f>
        <v>0</v>
      </c>
      <c r="E370" s="3">
        <f>VLOOKUP(E357,$A366:$J369,4,FALSE)</f>
        <v>1161.3863042207724</v>
      </c>
      <c r="G370" s="3">
        <f>VLOOKUP(G357,$A366:$J369,4,FALSE)</f>
        <v>1162.564148165184</v>
      </c>
      <c r="H370" s="3">
        <f>VLOOKUP(H357,$A366:$J369,7,FALSE)</f>
        <v>1191.7380642227506</v>
      </c>
      <c r="J370" s="3" t="e">
        <f>VLOOKUP(J357,$A366:$J369,7,FALSE)</f>
        <v>#N/A</v>
      </c>
      <c r="AT370" s="3">
        <f>X367</f>
        <v>0</v>
      </c>
      <c r="AU370" s="3">
        <f>AF367</f>
        <v>0</v>
      </c>
      <c r="BB370" s="166"/>
      <c r="BC370" s="115"/>
      <c r="BD370" s="115"/>
      <c r="BE370" s="166"/>
      <c r="BF370" s="115"/>
      <c r="BG370" s="115"/>
      <c r="BH370" s="166"/>
      <c r="BI370" s="115"/>
      <c r="BJ370" s="115"/>
      <c r="BK370" s="166"/>
      <c r="BL370" s="115"/>
      <c r="BM370" s="115"/>
      <c r="BN370" s="166"/>
      <c r="BO370" s="115"/>
      <c r="BP370" s="115"/>
      <c r="BQ370" s="166"/>
      <c r="BR370" s="115"/>
      <c r="BS370" s="115"/>
      <c r="BT370" s="166"/>
      <c r="BU370" s="115"/>
      <c r="BV370" s="115"/>
      <c r="BW370" s="166"/>
      <c r="BX370" s="115"/>
      <c r="BY370" s="115"/>
      <c r="BZ370" s="166"/>
      <c r="CA370" s="115"/>
      <c r="CB370" s="115"/>
    </row>
    <row r="371" spans="1:80" hidden="1">
      <c r="A371" s="173" t="s">
        <v>226</v>
      </c>
      <c r="B371" s="173">
        <f>IF(OR(B361&gt;0,D361&gt;0),1/(1+(10^-((B370-D370)/400)))*(B361+D361),0)</f>
        <v>0</v>
      </c>
      <c r="C371" s="173"/>
      <c r="D371" s="173" t="b">
        <f>IF(OR(B361&gt;0,D361&gt;0),1/(1+(10^-((D370-B370)/400)))*(B361+D361))</f>
        <v>0</v>
      </c>
      <c r="E371" s="173">
        <f>IF(OR(E361&gt;0,G361&gt;0),1/(1+(10^-((E370-G370)/400)))*(E361+G361),0)</f>
        <v>0</v>
      </c>
      <c r="F371" s="173"/>
      <c r="G371" s="173" t="b">
        <f>IF(OR(E361&gt;0,G361&gt;0),1/(1+(10^-((G370-E370)/400)))*(E361+G361))</f>
        <v>0</v>
      </c>
      <c r="H371" s="173">
        <f>IF(OR(H361&gt;0,J361&gt;0),1/(1+(10^-((H370-J370)/400)))*(H361+J361),0)</f>
        <v>0</v>
      </c>
      <c r="I371" s="173"/>
      <c r="J371" s="173" t="b">
        <f>IF(OR(H361&gt;0,J361&gt;0),1/(1+(10^-((J370-H370)/400)))*(H361+J361))</f>
        <v>0</v>
      </c>
      <c r="K371" s="173"/>
      <c r="AT371" s="3">
        <f>X368</f>
        <v>0</v>
      </c>
      <c r="AU371" s="3">
        <f>AF368</f>
        <v>0</v>
      </c>
      <c r="AW371" s="166"/>
      <c r="AX371" s="115"/>
      <c r="AY371" s="115"/>
      <c r="AZ371" s="115"/>
      <c r="BA371" s="115"/>
      <c r="BB371" s="166"/>
      <c r="BC371" s="115"/>
      <c r="BD371" s="115"/>
      <c r="BE371" s="166"/>
      <c r="BF371" s="115"/>
      <c r="BG371" s="115"/>
      <c r="BH371" s="166"/>
      <c r="BI371" s="115"/>
      <c r="BJ371" s="115"/>
      <c r="BK371" s="166"/>
      <c r="BL371" s="115"/>
      <c r="BM371" s="115"/>
      <c r="BN371" s="166"/>
      <c r="BO371" s="115"/>
      <c r="BP371" s="115"/>
      <c r="BQ371" s="166"/>
      <c r="BR371" s="115"/>
      <c r="BS371" s="115"/>
      <c r="BT371" s="166"/>
      <c r="BU371" s="115"/>
      <c r="BV371" s="115"/>
      <c r="BW371" s="166"/>
      <c r="BX371" s="115"/>
      <c r="BY371" s="115"/>
      <c r="BZ371" s="166"/>
      <c r="CA371" s="115"/>
      <c r="CB371" s="115"/>
    </row>
    <row r="372" spans="1:80" hidden="1">
      <c r="A372" s="179" t="s">
        <v>227</v>
      </c>
      <c r="B372" s="179">
        <f>B370+(B361-B371)*$BA$2</f>
        <v>1191.7380642227506</v>
      </c>
      <c r="C372" s="179"/>
      <c r="D372" s="179">
        <f>D370+(D361-D371)*$BA$2</f>
        <v>0</v>
      </c>
      <c r="E372" s="179">
        <f>E370+(E361-E371)*$BA$2</f>
        <v>1161.3863042207724</v>
      </c>
      <c r="G372" s="179">
        <f>G370+(G361-G371)*$BA$2</f>
        <v>1162.564148165184</v>
      </c>
      <c r="H372" s="179">
        <f>H370+(H361-H371)*$BA$2</f>
        <v>1191.7380642227506</v>
      </c>
      <c r="J372" s="179" t="e">
        <f>J370+(J361-J371)*$BA$2</f>
        <v>#N/A</v>
      </c>
      <c r="K372" s="179"/>
      <c r="AT372" s="3">
        <f>X369</f>
        <v>0</v>
      </c>
      <c r="AU372" s="3">
        <f>AF369</f>
        <v>0</v>
      </c>
      <c r="AW372" s="166"/>
      <c r="AX372" s="115"/>
      <c r="AY372" s="115"/>
      <c r="AZ372" s="115"/>
      <c r="BA372" s="115"/>
      <c r="BB372" s="166"/>
      <c r="BC372" s="115"/>
      <c r="BD372" s="115"/>
      <c r="BE372" s="166"/>
      <c r="BF372" s="115"/>
      <c r="BG372" s="115"/>
      <c r="BH372" s="166"/>
      <c r="BI372" s="115"/>
      <c r="BJ372" s="115"/>
      <c r="BK372" s="166"/>
      <c r="BL372" s="115"/>
      <c r="BM372" s="115"/>
      <c r="BN372" s="166"/>
      <c r="BO372" s="115"/>
      <c r="BP372" s="115"/>
      <c r="BQ372" s="166"/>
      <c r="BR372" s="115"/>
      <c r="BS372" s="115"/>
      <c r="BT372" s="166"/>
      <c r="BU372" s="115"/>
      <c r="BV372" s="115"/>
      <c r="BW372" s="166"/>
      <c r="BX372" s="115"/>
      <c r="BY372" s="115"/>
      <c r="BZ372" s="166"/>
      <c r="CA372" s="115"/>
      <c r="CB372" s="115"/>
    </row>
    <row r="373" spans="1:80">
      <c r="A373" s="731" t="s">
        <v>1248</v>
      </c>
      <c r="B373" s="731"/>
      <c r="C373" s="731"/>
      <c r="D373" s="731"/>
      <c r="E373" s="731"/>
      <c r="F373" s="731"/>
      <c r="G373" s="731"/>
      <c r="H373" s="731"/>
      <c r="I373" s="731"/>
      <c r="J373" s="731"/>
      <c r="K373" s="731"/>
      <c r="L373" s="731"/>
      <c r="M373" s="731"/>
      <c r="N373" s="731"/>
      <c r="AW373" s="166"/>
      <c r="AX373" s="115"/>
      <c r="AY373" s="115"/>
      <c r="AZ373" s="115"/>
      <c r="BA373" s="115"/>
    </row>
    <row r="374" spans="1:80">
      <c r="AW374" s="166"/>
      <c r="AX374" s="115"/>
      <c r="AY374" s="115"/>
      <c r="AZ374" s="115"/>
      <c r="BA374" s="115"/>
    </row>
    <row r="375" spans="1:80">
      <c r="AW375" s="166"/>
      <c r="AX375" s="115"/>
      <c r="AY375" s="115"/>
      <c r="AZ375" s="115"/>
      <c r="BA375" s="115"/>
    </row>
    <row r="376" spans="1:80">
      <c r="AW376" s="166"/>
      <c r="AX376" s="115"/>
      <c r="AY376" s="115"/>
      <c r="AZ376" s="115"/>
      <c r="BA376" s="115"/>
    </row>
    <row r="377" spans="1:80">
      <c r="AW377" s="166"/>
      <c r="AX377" s="115"/>
      <c r="AY377" s="115"/>
      <c r="AZ377" s="115"/>
      <c r="BA377" s="115"/>
    </row>
    <row r="378" spans="1:80">
      <c r="AW378" s="166"/>
      <c r="AX378" s="115"/>
      <c r="AY378" s="115"/>
      <c r="AZ378" s="115"/>
      <c r="BA378" s="115"/>
    </row>
    <row r="379" spans="1:80">
      <c r="AS379" s="120"/>
      <c r="AT379" s="120"/>
      <c r="AW379" s="166"/>
      <c r="AX379" s="115"/>
      <c r="AY379" s="115"/>
      <c r="AZ379" s="115"/>
      <c r="BA379" s="115"/>
    </row>
    <row r="380" spans="1:80">
      <c r="AW380" s="166"/>
      <c r="AX380" s="115"/>
      <c r="AY380" s="115"/>
      <c r="AZ380" s="115"/>
      <c r="BA380" s="115"/>
    </row>
    <row r="381" spans="1:80">
      <c r="AW381" s="166"/>
      <c r="AX381" s="115"/>
      <c r="AY381" s="115"/>
      <c r="AZ381" s="115"/>
      <c r="BA381" s="115"/>
    </row>
    <row r="382" spans="1:80">
      <c r="AW382" s="166"/>
      <c r="AX382" s="115"/>
      <c r="AY382" s="115"/>
      <c r="AZ382" s="115"/>
      <c r="BA382" s="115"/>
    </row>
    <row r="383" spans="1:80">
      <c r="AW383" s="166"/>
      <c r="AX383" s="115"/>
      <c r="AY383" s="115"/>
      <c r="AZ383" s="115"/>
      <c r="BA383" s="115"/>
    </row>
    <row r="384" spans="1:80">
      <c r="AW384" s="166"/>
      <c r="AX384" s="115"/>
      <c r="AY384" s="115"/>
      <c r="AZ384" s="115"/>
      <c r="BA384" s="115"/>
    </row>
    <row r="385" spans="49:53">
      <c r="AW385" s="166"/>
      <c r="AX385" s="115"/>
      <c r="AY385" s="115"/>
      <c r="AZ385" s="115"/>
      <c r="BA385" s="115"/>
    </row>
    <row r="386" spans="49:53">
      <c r="AW386" s="166"/>
      <c r="AX386" s="115"/>
      <c r="AY386" s="115"/>
      <c r="AZ386" s="115"/>
      <c r="BA386" s="115"/>
    </row>
    <row r="387" spans="49:53">
      <c r="AW387" s="166"/>
      <c r="AX387" s="115"/>
      <c r="AY387" s="115"/>
      <c r="AZ387" s="115"/>
      <c r="BA387" s="115"/>
    </row>
    <row r="388" spans="49:53">
      <c r="AW388" s="166"/>
      <c r="AX388" s="115"/>
      <c r="AY388" s="115"/>
      <c r="AZ388" s="115"/>
      <c r="BA388" s="115"/>
    </row>
    <row r="389" spans="49:53">
      <c r="AW389" s="166"/>
      <c r="AX389" s="115"/>
      <c r="AY389" s="115"/>
      <c r="AZ389" s="115"/>
      <c r="BA389" s="115"/>
    </row>
    <row r="390" spans="49:53">
      <c r="AW390" s="166"/>
      <c r="AX390" s="115"/>
      <c r="AY390" s="115"/>
      <c r="AZ390" s="115"/>
      <c r="BA390" s="115"/>
    </row>
    <row r="391" spans="49:53">
      <c r="AW391" s="166"/>
      <c r="AX391" s="115"/>
      <c r="AY391" s="115"/>
      <c r="AZ391" s="115"/>
      <c r="BA391" s="115"/>
    </row>
    <row r="392" spans="49:53">
      <c r="AW392" s="166"/>
      <c r="AX392" s="115"/>
      <c r="AY392" s="115"/>
      <c r="AZ392" s="115"/>
      <c r="BA392" s="115"/>
    </row>
    <row r="393" spans="49:53">
      <c r="AW393" s="166"/>
      <c r="AX393" s="115"/>
      <c r="AY393" s="115"/>
      <c r="AZ393" s="115"/>
      <c r="BA393" s="115"/>
    </row>
    <row r="394" spans="49:53">
      <c r="AW394" s="166"/>
      <c r="AX394" s="115"/>
      <c r="AY394" s="115"/>
      <c r="AZ394" s="115"/>
      <c r="BA394" s="115"/>
    </row>
    <row r="395" spans="49:53">
      <c r="AW395" s="166"/>
      <c r="AX395" s="115"/>
      <c r="AY395" s="115"/>
      <c r="AZ395" s="115"/>
      <c r="BA395" s="115"/>
    </row>
    <row r="396" spans="49:53">
      <c r="AW396" s="166"/>
      <c r="AX396" s="115"/>
      <c r="AY396" s="115"/>
      <c r="AZ396" s="115"/>
      <c r="BA396" s="115"/>
    </row>
    <row r="397" spans="49:53">
      <c r="AW397" s="166"/>
      <c r="AX397" s="115"/>
      <c r="AY397" s="115"/>
      <c r="AZ397" s="115"/>
      <c r="BA397" s="115"/>
    </row>
    <row r="398" spans="49:53">
      <c r="AW398" s="166"/>
      <c r="AX398" s="115"/>
      <c r="AY398" s="115"/>
      <c r="AZ398" s="115"/>
      <c r="BA398" s="115"/>
    </row>
    <row r="399" spans="49:53">
      <c r="AW399" s="166"/>
      <c r="AX399" s="115"/>
      <c r="AY399" s="115"/>
      <c r="AZ399" s="115"/>
      <c r="BA399" s="115"/>
    </row>
    <row r="400" spans="49:53">
      <c r="AW400" s="166"/>
      <c r="AX400" s="115"/>
      <c r="AY400" s="115"/>
      <c r="AZ400" s="115"/>
      <c r="BA400" s="115"/>
    </row>
    <row r="401" spans="45:53">
      <c r="AW401" s="166"/>
      <c r="AX401" s="115"/>
      <c r="AY401" s="115"/>
      <c r="AZ401" s="115"/>
      <c r="BA401" s="115"/>
    </row>
    <row r="402" spans="45:53">
      <c r="AW402" s="166"/>
      <c r="AX402" s="115"/>
      <c r="AY402" s="115"/>
      <c r="AZ402" s="115"/>
      <c r="BA402" s="115"/>
    </row>
    <row r="403" spans="45:53">
      <c r="AW403" s="166"/>
      <c r="AX403" s="115"/>
      <c r="AY403" s="115"/>
      <c r="AZ403" s="115"/>
      <c r="BA403" s="115"/>
    </row>
    <row r="404" spans="45:53">
      <c r="AW404" s="166"/>
      <c r="AX404" s="115"/>
      <c r="AY404" s="115"/>
      <c r="AZ404" s="115"/>
      <c r="BA404" s="115"/>
    </row>
    <row r="405" spans="45:53">
      <c r="AW405" s="166"/>
      <c r="AX405" s="115"/>
      <c r="AY405" s="115"/>
      <c r="AZ405" s="115"/>
      <c r="BA405" s="115"/>
    </row>
    <row r="406" spans="45:53">
      <c r="AW406" s="166"/>
      <c r="AX406" s="115"/>
      <c r="AY406" s="115"/>
      <c r="AZ406" s="115"/>
      <c r="BA406" s="115"/>
    </row>
    <row r="407" spans="45:53">
      <c r="AW407" s="166"/>
      <c r="AX407" s="115"/>
      <c r="AY407" s="115"/>
      <c r="AZ407" s="115"/>
      <c r="BA407" s="115"/>
    </row>
    <row r="408" spans="45:53">
      <c r="AW408" s="166"/>
      <c r="AX408" s="115"/>
      <c r="AY408" s="115"/>
      <c r="AZ408" s="115"/>
      <c r="BA408" s="115"/>
    </row>
    <row r="409" spans="45:53">
      <c r="AW409" s="166"/>
      <c r="AX409" s="115"/>
      <c r="AY409" s="115"/>
      <c r="AZ409" s="115"/>
      <c r="BA409" s="115"/>
    </row>
    <row r="410" spans="45:53">
      <c r="AW410" s="166"/>
      <c r="AX410" s="115"/>
      <c r="AY410" s="115"/>
      <c r="AZ410" s="115"/>
      <c r="BA410" s="115"/>
    </row>
    <row r="411" spans="45:53">
      <c r="AW411" s="166"/>
      <c r="AX411" s="115"/>
      <c r="AY411" s="115"/>
      <c r="AZ411" s="115"/>
      <c r="BA411" s="115"/>
    </row>
    <row r="412" spans="45:53">
      <c r="AW412" s="166"/>
      <c r="AX412" s="115"/>
      <c r="AY412" s="115"/>
      <c r="AZ412" s="115"/>
      <c r="BA412" s="115"/>
    </row>
    <row r="413" spans="45:53">
      <c r="AW413" s="166"/>
      <c r="AX413" s="115"/>
      <c r="AY413" s="115"/>
      <c r="AZ413" s="115"/>
      <c r="BA413" s="115"/>
    </row>
    <row r="414" spans="45:53">
      <c r="AW414" s="166"/>
      <c r="AX414" s="115"/>
      <c r="AY414" s="115"/>
      <c r="AZ414" s="115"/>
      <c r="BA414" s="115"/>
    </row>
    <row r="415" spans="45:53">
      <c r="AS415" s="120"/>
      <c r="AT415" s="120"/>
      <c r="AW415" s="166"/>
      <c r="AX415" s="115"/>
      <c r="AY415" s="115"/>
      <c r="AZ415" s="115"/>
      <c r="BA415" s="115"/>
    </row>
    <row r="416" spans="45:53">
      <c r="AW416" s="166"/>
      <c r="AX416" s="115"/>
      <c r="AY416" s="115"/>
      <c r="AZ416" s="115"/>
      <c r="BA416" s="115"/>
    </row>
    <row r="418" spans="49:53">
      <c r="AW418" s="170"/>
      <c r="AX418" s="117"/>
      <c r="AY418" s="117"/>
      <c r="AZ418" s="117"/>
      <c r="BA418" s="117"/>
    </row>
    <row r="419" spans="49:53">
      <c r="AW419" s="170"/>
      <c r="AX419" s="117"/>
      <c r="AY419" s="117"/>
      <c r="AZ419" s="117"/>
      <c r="BA419" s="117"/>
    </row>
    <row r="420" spans="49:53">
      <c r="AW420" s="170"/>
      <c r="AX420" s="117"/>
      <c r="AY420" s="117"/>
      <c r="AZ420" s="117"/>
      <c r="BA420" s="117"/>
    </row>
    <row r="421" spans="49:53">
      <c r="AW421" s="170"/>
      <c r="AX421" s="117"/>
      <c r="AY421" s="117"/>
      <c r="AZ421" s="117"/>
      <c r="BA421" s="117"/>
    </row>
    <row r="422" spans="49:53">
      <c r="AW422" s="170"/>
      <c r="AX422" s="117"/>
      <c r="AY422" s="117"/>
      <c r="AZ422" s="117"/>
      <c r="BA422" s="117"/>
    </row>
    <row r="423" spans="49:53">
      <c r="AW423" s="170"/>
      <c r="AX423" s="117"/>
      <c r="AY423" s="117"/>
      <c r="AZ423" s="117"/>
      <c r="BA423" s="117"/>
    </row>
    <row r="424" spans="49:53">
      <c r="AW424" s="170"/>
      <c r="AX424" s="117"/>
      <c r="AY424" s="117"/>
      <c r="AZ424" s="117"/>
      <c r="BA424" s="117"/>
    </row>
    <row r="425" spans="49:53">
      <c r="AW425" s="170"/>
      <c r="AX425" s="117"/>
      <c r="AY425" s="117"/>
      <c r="AZ425" s="117"/>
      <c r="BA425" s="117"/>
    </row>
    <row r="426" spans="49:53">
      <c r="AW426" s="177"/>
      <c r="AX426" s="176"/>
      <c r="AY426" s="176"/>
      <c r="AZ426" s="176"/>
      <c r="BA426" s="176"/>
    </row>
    <row r="427" spans="49:53">
      <c r="AW427" s="183"/>
      <c r="AX427" s="182"/>
      <c r="AY427" s="182"/>
      <c r="AZ427" s="182"/>
      <c r="BA427" s="182"/>
    </row>
    <row r="428" spans="49:53">
      <c r="AW428" s="183"/>
      <c r="AX428" s="182"/>
      <c r="AY428" s="182"/>
      <c r="AZ428" s="182"/>
      <c r="BA428" s="182"/>
    </row>
    <row r="429" spans="49:53">
      <c r="AW429" s="170"/>
      <c r="AX429" s="117"/>
      <c r="AY429" s="117"/>
      <c r="AZ429" s="117"/>
      <c r="BA429" s="117"/>
    </row>
    <row r="430" spans="49:53">
      <c r="AW430" s="170"/>
      <c r="AX430" s="117"/>
      <c r="AY430" s="117"/>
      <c r="AZ430" s="117"/>
      <c r="BA430" s="117"/>
    </row>
    <row r="488" spans="49:49">
      <c r="AW488" s="3"/>
    </row>
    <row r="489" spans="49:49">
      <c r="AW489" s="3"/>
    </row>
    <row r="490" spans="49:49">
      <c r="AW490" s="3"/>
    </row>
    <row r="491" spans="49:49">
      <c r="AW491" s="3"/>
    </row>
    <row r="492" spans="49:49">
      <c r="AW492" s="3"/>
    </row>
    <row r="493" spans="49:49">
      <c r="AW493" s="3"/>
    </row>
    <row r="494" spans="49:49">
      <c r="AW494" s="3"/>
    </row>
    <row r="495" spans="49:49">
      <c r="AW495" s="3"/>
    </row>
    <row r="496" spans="49:49">
      <c r="AW496" s="3"/>
    </row>
    <row r="542" spans="49:49">
      <c r="AW542" s="3"/>
    </row>
    <row r="543" spans="49:49">
      <c r="AW543" s="3"/>
    </row>
    <row r="544" spans="49:49">
      <c r="AW544" s="3"/>
    </row>
    <row r="545" spans="49:49">
      <c r="AW545" s="3"/>
    </row>
    <row r="546" spans="49:49">
      <c r="AW546" s="3"/>
    </row>
    <row r="547" spans="49:49">
      <c r="AW547" s="3"/>
    </row>
    <row r="548" spans="49:49">
      <c r="AW548" s="3"/>
    </row>
    <row r="549" spans="49:49">
      <c r="AW549" s="3"/>
    </row>
    <row r="550" spans="49:49">
      <c r="AW550" s="3"/>
    </row>
    <row r="596" spans="49:49">
      <c r="AW596" s="3"/>
    </row>
    <row r="597" spans="49:49">
      <c r="AW597" s="3"/>
    </row>
    <row r="598" spans="49:49">
      <c r="AW598" s="3"/>
    </row>
    <row r="599" spans="49:49">
      <c r="AW599" s="3"/>
    </row>
    <row r="600" spans="49:49">
      <c r="AW600" s="3"/>
    </row>
    <row r="601" spans="49:49">
      <c r="AW601" s="3"/>
    </row>
    <row r="602" spans="49:49">
      <c r="AW602" s="3"/>
    </row>
    <row r="603" spans="49:49">
      <c r="AW603" s="3"/>
    </row>
    <row r="604" spans="49:49">
      <c r="AW604" s="3"/>
    </row>
    <row r="650" spans="49:49">
      <c r="AW650" s="3"/>
    </row>
    <row r="651" spans="49:49">
      <c r="AW651" s="3"/>
    </row>
    <row r="652" spans="49:49">
      <c r="AW652" s="3"/>
    </row>
    <row r="653" spans="49:49">
      <c r="AW653" s="3"/>
    </row>
    <row r="654" spans="49:49">
      <c r="AW654" s="3"/>
    </row>
    <row r="655" spans="49:49">
      <c r="AW655" s="3"/>
    </row>
    <row r="656" spans="49:49">
      <c r="AW656" s="3"/>
    </row>
    <row r="657" spans="49:49">
      <c r="AW657" s="3"/>
    </row>
    <row r="658" spans="49:49">
      <c r="AW658" s="3"/>
    </row>
  </sheetData>
  <sheetProtection formatCells="0" selectLockedCells="1"/>
  <mergeCells count="669">
    <mergeCell ref="K357:N357"/>
    <mergeCell ref="K362:N364"/>
    <mergeCell ref="A373:N373"/>
    <mergeCell ref="B354:D354"/>
    <mergeCell ref="E354:G354"/>
    <mergeCell ref="H354:J354"/>
    <mergeCell ref="K354:Q356"/>
    <mergeCell ref="B355:D355"/>
    <mergeCell ref="E355:G355"/>
    <mergeCell ref="H355:J355"/>
    <mergeCell ref="B356:D356"/>
    <mergeCell ref="E356:G356"/>
    <mergeCell ref="H356:J356"/>
    <mergeCell ref="B350:J350"/>
    <mergeCell ref="K350:Q350"/>
    <mergeCell ref="B351:J351"/>
    <mergeCell ref="K351:Q351"/>
    <mergeCell ref="B352:J352"/>
    <mergeCell ref="K352:Q352"/>
    <mergeCell ref="A343:E343"/>
    <mergeCell ref="A344:E344"/>
    <mergeCell ref="A347:J347"/>
    <mergeCell ref="B348:J348"/>
    <mergeCell ref="K348:Q348"/>
    <mergeCell ref="B349:J349"/>
    <mergeCell ref="K349:Q349"/>
    <mergeCell ref="A339:E339"/>
    <mergeCell ref="J339:Q339"/>
    <mergeCell ref="A341:E341"/>
    <mergeCell ref="F341:I341"/>
    <mergeCell ref="J341:N341"/>
    <mergeCell ref="A342:E342"/>
    <mergeCell ref="F342:N342"/>
    <mergeCell ref="A335:E335"/>
    <mergeCell ref="F336:I336"/>
    <mergeCell ref="J337:Q337"/>
    <mergeCell ref="A338:E338"/>
    <mergeCell ref="F338:I338"/>
    <mergeCell ref="J338:Q338"/>
    <mergeCell ref="A332:D332"/>
    <mergeCell ref="F332:N332"/>
    <mergeCell ref="A333:E333"/>
    <mergeCell ref="F333:I333"/>
    <mergeCell ref="J333:N333"/>
    <mergeCell ref="A334:E334"/>
    <mergeCell ref="U324:W324"/>
    <mergeCell ref="A325:N325"/>
    <mergeCell ref="W325:AH325"/>
    <mergeCell ref="A327:P327"/>
    <mergeCell ref="A329:E329"/>
    <mergeCell ref="A330:E330"/>
    <mergeCell ref="U312:W312"/>
    <mergeCell ref="U313:W313"/>
    <mergeCell ref="K314:N316"/>
    <mergeCell ref="AG314:AH316"/>
    <mergeCell ref="U322:W322"/>
    <mergeCell ref="U323:W323"/>
    <mergeCell ref="AD308:AF308"/>
    <mergeCell ref="K309:N309"/>
    <mergeCell ref="U309:W309"/>
    <mergeCell ref="AG309:AH309"/>
    <mergeCell ref="U310:W310"/>
    <mergeCell ref="U311:W311"/>
    <mergeCell ref="B308:D308"/>
    <mergeCell ref="E308:G308"/>
    <mergeCell ref="H308:J308"/>
    <mergeCell ref="U308:W308"/>
    <mergeCell ref="X308:Z308"/>
    <mergeCell ref="AA308:AC308"/>
    <mergeCell ref="AA306:AC306"/>
    <mergeCell ref="AD306:AF306"/>
    <mergeCell ref="AG306:AK308"/>
    <mergeCell ref="B307:D307"/>
    <mergeCell ref="E307:G307"/>
    <mergeCell ref="H307:J307"/>
    <mergeCell ref="U307:W307"/>
    <mergeCell ref="X307:Z307"/>
    <mergeCell ref="AA307:AC307"/>
    <mergeCell ref="AD307:AF307"/>
    <mergeCell ref="B304:J304"/>
    <mergeCell ref="K304:Q304"/>
    <mergeCell ref="V304:X304"/>
    <mergeCell ref="Y304:AG304"/>
    <mergeCell ref="AH304:AN304"/>
    <mergeCell ref="B306:D306"/>
    <mergeCell ref="E306:G306"/>
    <mergeCell ref="H306:J306"/>
    <mergeCell ref="K306:Q308"/>
    <mergeCell ref="X306:Z306"/>
    <mergeCell ref="B302:J302"/>
    <mergeCell ref="K302:Q302"/>
    <mergeCell ref="V302:X302"/>
    <mergeCell ref="Y302:AG302"/>
    <mergeCell ref="AH302:AN302"/>
    <mergeCell ref="B303:J303"/>
    <mergeCell ref="K303:Q303"/>
    <mergeCell ref="V303:X303"/>
    <mergeCell ref="Y303:AG303"/>
    <mergeCell ref="AH303:AN303"/>
    <mergeCell ref="B300:J300"/>
    <mergeCell ref="K300:Q300"/>
    <mergeCell ref="V300:X300"/>
    <mergeCell ref="Y300:AG300"/>
    <mergeCell ref="AH300:AN300"/>
    <mergeCell ref="B301:J301"/>
    <mergeCell ref="K301:Q301"/>
    <mergeCell ref="V301:X301"/>
    <mergeCell ref="Y301:AG301"/>
    <mergeCell ref="AH301:AN301"/>
    <mergeCell ref="A295:E295"/>
    <mergeCell ref="W295:AC295"/>
    <mergeCell ref="A296:E296"/>
    <mergeCell ref="W296:AC296"/>
    <mergeCell ref="A299:J299"/>
    <mergeCell ref="V299:AG299"/>
    <mergeCell ref="AD293:AG293"/>
    <mergeCell ref="AH293:AJ293"/>
    <mergeCell ref="A294:E294"/>
    <mergeCell ref="F294:O294"/>
    <mergeCell ref="V294:AB294"/>
    <mergeCell ref="AD294:AJ294"/>
    <mergeCell ref="A291:E291"/>
    <mergeCell ref="J291:R291"/>
    <mergeCell ref="W291:AC291"/>
    <mergeCell ref="A293:D293"/>
    <mergeCell ref="F293:I293"/>
    <mergeCell ref="J293:O293"/>
    <mergeCell ref="V293:AB293"/>
    <mergeCell ref="J289:Q289"/>
    <mergeCell ref="AH289:AM289"/>
    <mergeCell ref="A290:E290"/>
    <mergeCell ref="F290:I290"/>
    <mergeCell ref="J290:Q290"/>
    <mergeCell ref="W290:AC290"/>
    <mergeCell ref="AD290:AG290"/>
    <mergeCell ref="AH290:AM290"/>
    <mergeCell ref="A286:E286"/>
    <mergeCell ref="W286:AC286"/>
    <mergeCell ref="A287:E287"/>
    <mergeCell ref="W287:AC287"/>
    <mergeCell ref="F288:I288"/>
    <mergeCell ref="AD288:AG288"/>
    <mergeCell ref="AD284:AJ284"/>
    <mergeCell ref="A285:E285"/>
    <mergeCell ref="F285:I285"/>
    <mergeCell ref="J285:O285"/>
    <mergeCell ref="V285:AB285"/>
    <mergeCell ref="AD285:AG285"/>
    <mergeCell ref="AH285:AJ285"/>
    <mergeCell ref="A281:E281"/>
    <mergeCell ref="W281:AC281"/>
    <mergeCell ref="A282:E282"/>
    <mergeCell ref="W282:AC282"/>
    <mergeCell ref="A284:E284"/>
    <mergeCell ref="F284:O284"/>
    <mergeCell ref="V284:AC284"/>
    <mergeCell ref="A273:AQ273"/>
    <mergeCell ref="A274:AR274"/>
    <mergeCell ref="A275:AR275"/>
    <mergeCell ref="A276:AR276"/>
    <mergeCell ref="A277:L277"/>
    <mergeCell ref="A279:P279"/>
    <mergeCell ref="S279:AG279"/>
    <mergeCell ref="AH270:AM270"/>
    <mergeCell ref="AN270:AP270"/>
    <mergeCell ref="B271:H271"/>
    <mergeCell ref="I271:L271"/>
    <mergeCell ref="M271:S271"/>
    <mergeCell ref="T271:W271"/>
    <mergeCell ref="X271:AE271"/>
    <mergeCell ref="AF271:AG271"/>
    <mergeCell ref="AH271:AM271"/>
    <mergeCell ref="AN271:AP271"/>
    <mergeCell ref="B270:H270"/>
    <mergeCell ref="I270:L270"/>
    <mergeCell ref="M270:S270"/>
    <mergeCell ref="T270:W270"/>
    <mergeCell ref="X270:AE270"/>
    <mergeCell ref="AF270:AG270"/>
    <mergeCell ref="AH268:AM268"/>
    <mergeCell ref="AN268:AP268"/>
    <mergeCell ref="B269:H269"/>
    <mergeCell ref="I269:L269"/>
    <mergeCell ref="M269:S269"/>
    <mergeCell ref="T269:W269"/>
    <mergeCell ref="X269:AE269"/>
    <mergeCell ref="AF269:AG269"/>
    <mergeCell ref="AH269:AM269"/>
    <mergeCell ref="AN269:AP269"/>
    <mergeCell ref="B268:H268"/>
    <mergeCell ref="I268:L268"/>
    <mergeCell ref="M268:S268"/>
    <mergeCell ref="T268:W268"/>
    <mergeCell ref="X268:AE268"/>
    <mergeCell ref="AF268:AG268"/>
    <mergeCell ref="X266:AB266"/>
    <mergeCell ref="AC266:AE266"/>
    <mergeCell ref="AH266:AJ266"/>
    <mergeCell ref="AK266:AM266"/>
    <mergeCell ref="AN266:AO266"/>
    <mergeCell ref="A267:A268"/>
    <mergeCell ref="B267:L267"/>
    <mergeCell ref="M267:W267"/>
    <mergeCell ref="X267:AG267"/>
    <mergeCell ref="AH267:AP267"/>
    <mergeCell ref="AC265:AE265"/>
    <mergeCell ref="AH265:AJ265"/>
    <mergeCell ref="AK265:AM265"/>
    <mergeCell ref="AN265:AO265"/>
    <mergeCell ref="B266:E266"/>
    <mergeCell ref="F266:I266"/>
    <mergeCell ref="J266:K266"/>
    <mergeCell ref="M266:Q266"/>
    <mergeCell ref="R266:T266"/>
    <mergeCell ref="U266:V266"/>
    <mergeCell ref="AH264:AJ264"/>
    <mergeCell ref="AK264:AM264"/>
    <mergeCell ref="AN264:AO264"/>
    <mergeCell ref="B265:E265"/>
    <mergeCell ref="F265:I265"/>
    <mergeCell ref="J265:K265"/>
    <mergeCell ref="M265:Q265"/>
    <mergeCell ref="R265:T265"/>
    <mergeCell ref="U265:V265"/>
    <mergeCell ref="X265:AB265"/>
    <mergeCell ref="AK263:AM263"/>
    <mergeCell ref="AN263:AO263"/>
    <mergeCell ref="B264:E264"/>
    <mergeCell ref="F264:I264"/>
    <mergeCell ref="J264:K264"/>
    <mergeCell ref="M264:Q264"/>
    <mergeCell ref="R264:T264"/>
    <mergeCell ref="U264:V264"/>
    <mergeCell ref="X264:AB264"/>
    <mergeCell ref="AC264:AE264"/>
    <mergeCell ref="M263:Q263"/>
    <mergeCell ref="R263:T263"/>
    <mergeCell ref="U263:V263"/>
    <mergeCell ref="X263:AB263"/>
    <mergeCell ref="AC263:AE263"/>
    <mergeCell ref="AH263:AJ263"/>
    <mergeCell ref="A260:AR260"/>
    <mergeCell ref="A261:AQ261"/>
    <mergeCell ref="A262:A263"/>
    <mergeCell ref="B262:L262"/>
    <mergeCell ref="M262:W262"/>
    <mergeCell ref="X262:AG262"/>
    <mergeCell ref="AH262:AP262"/>
    <mergeCell ref="B263:E263"/>
    <mergeCell ref="F263:I263"/>
    <mergeCell ref="J263:K263"/>
    <mergeCell ref="X193:Z193"/>
    <mergeCell ref="AA193:AC193"/>
    <mergeCell ref="AD193:AF193"/>
    <mergeCell ref="AH227:AL227"/>
    <mergeCell ref="A259:AM259"/>
    <mergeCell ref="AN259:AQ259"/>
    <mergeCell ref="X192:Z192"/>
    <mergeCell ref="AA192:AC192"/>
    <mergeCell ref="AD192:AF192"/>
    <mergeCell ref="B193:D193"/>
    <mergeCell ref="E193:G193"/>
    <mergeCell ref="H193:J193"/>
    <mergeCell ref="L193:N193"/>
    <mergeCell ref="O193:Q193"/>
    <mergeCell ref="R193:T193"/>
    <mergeCell ref="U193:W193"/>
    <mergeCell ref="X191:Z191"/>
    <mergeCell ref="AA191:AC191"/>
    <mergeCell ref="AD191:AF191"/>
    <mergeCell ref="B192:D192"/>
    <mergeCell ref="E192:G192"/>
    <mergeCell ref="H192:J192"/>
    <mergeCell ref="L192:N192"/>
    <mergeCell ref="O192:Q192"/>
    <mergeCell ref="R192:T192"/>
    <mergeCell ref="U192:W192"/>
    <mergeCell ref="X190:Z190"/>
    <mergeCell ref="AA190:AC190"/>
    <mergeCell ref="AD190:AF190"/>
    <mergeCell ref="B191:D191"/>
    <mergeCell ref="E191:G191"/>
    <mergeCell ref="H191:J191"/>
    <mergeCell ref="L191:N191"/>
    <mergeCell ref="O191:Q191"/>
    <mergeCell ref="R191:T191"/>
    <mergeCell ref="U191:W191"/>
    <mergeCell ref="AA189:AC189"/>
    <mergeCell ref="AD189:AF189"/>
    <mergeCell ref="AG189:AR192"/>
    <mergeCell ref="B190:D190"/>
    <mergeCell ref="E190:G190"/>
    <mergeCell ref="H190:J190"/>
    <mergeCell ref="L190:N190"/>
    <mergeCell ref="O190:Q190"/>
    <mergeCell ref="R190:T190"/>
    <mergeCell ref="U190:W190"/>
    <mergeCell ref="B188:AJ188"/>
    <mergeCell ref="B189:D189"/>
    <mergeCell ref="E189:G189"/>
    <mergeCell ref="H189:J189"/>
    <mergeCell ref="K189:K199"/>
    <mergeCell ref="L189:N189"/>
    <mergeCell ref="O189:Q189"/>
    <mergeCell ref="R189:T189"/>
    <mergeCell ref="U189:W189"/>
    <mergeCell ref="X189:Z189"/>
    <mergeCell ref="AA186:AC187"/>
    <mergeCell ref="AD186:AF187"/>
    <mergeCell ref="AG186:AG187"/>
    <mergeCell ref="AH186:AH187"/>
    <mergeCell ref="AI186:AJ187"/>
    <mergeCell ref="B187:D187"/>
    <mergeCell ref="E187:L187"/>
    <mergeCell ref="A186:A187"/>
    <mergeCell ref="B186:D186"/>
    <mergeCell ref="E186:L186"/>
    <mergeCell ref="M186:Q187"/>
    <mergeCell ref="S186:W187"/>
    <mergeCell ref="X186:Z187"/>
    <mergeCell ref="AD184:AF185"/>
    <mergeCell ref="AG184:AG185"/>
    <mergeCell ref="AH184:AH185"/>
    <mergeCell ref="AI184:AJ185"/>
    <mergeCell ref="B185:D185"/>
    <mergeCell ref="E185:L185"/>
    <mergeCell ref="AI182:AJ183"/>
    <mergeCell ref="B183:D183"/>
    <mergeCell ref="E183:L183"/>
    <mergeCell ref="A184:A185"/>
    <mergeCell ref="B184:D184"/>
    <mergeCell ref="E184:L184"/>
    <mergeCell ref="M184:Q185"/>
    <mergeCell ref="S184:W185"/>
    <mergeCell ref="X184:Z185"/>
    <mergeCell ref="AA184:AC185"/>
    <mergeCell ref="S182:W183"/>
    <mergeCell ref="X182:Z183"/>
    <mergeCell ref="AA182:AC183"/>
    <mergeCell ref="AD182:AF183"/>
    <mergeCell ref="AG182:AG183"/>
    <mergeCell ref="AH182:AH183"/>
    <mergeCell ref="B181:D181"/>
    <mergeCell ref="E181:L181"/>
    <mergeCell ref="A182:A183"/>
    <mergeCell ref="B182:D182"/>
    <mergeCell ref="E182:L182"/>
    <mergeCell ref="M182:Q183"/>
    <mergeCell ref="X180:Z181"/>
    <mergeCell ref="AA180:AC181"/>
    <mergeCell ref="AD180:AF181"/>
    <mergeCell ref="AG180:AG181"/>
    <mergeCell ref="AH180:AH181"/>
    <mergeCell ref="AI180:AJ181"/>
    <mergeCell ref="AG178:AG179"/>
    <mergeCell ref="AH178:AH179"/>
    <mergeCell ref="AI178:AJ179"/>
    <mergeCell ref="B179:D179"/>
    <mergeCell ref="E179:L179"/>
    <mergeCell ref="A180:A181"/>
    <mergeCell ref="B180:D180"/>
    <mergeCell ref="E180:L180"/>
    <mergeCell ref="M180:Q181"/>
    <mergeCell ref="S180:W181"/>
    <mergeCell ref="AD177:AF177"/>
    <mergeCell ref="AI177:AJ177"/>
    <mergeCell ref="A178:A179"/>
    <mergeCell ref="B178:D178"/>
    <mergeCell ref="E178:L178"/>
    <mergeCell ref="M178:Q179"/>
    <mergeCell ref="S178:W179"/>
    <mergeCell ref="X178:Z179"/>
    <mergeCell ref="AA178:AC179"/>
    <mergeCell ref="AD178:AF179"/>
    <mergeCell ref="A175:AR175"/>
    <mergeCell ref="C176:H176"/>
    <mergeCell ref="I176:J176"/>
    <mergeCell ref="K176:AJ176"/>
    <mergeCell ref="B177:L177"/>
    <mergeCell ref="M177:Q177"/>
    <mergeCell ref="R177:R187"/>
    <mergeCell ref="S177:W177"/>
    <mergeCell ref="X177:Z177"/>
    <mergeCell ref="AA177:AC177"/>
    <mergeCell ref="X108:Z108"/>
    <mergeCell ref="AA108:AC108"/>
    <mergeCell ref="AD108:AF108"/>
    <mergeCell ref="AH142:AL142"/>
    <mergeCell ref="A174:AM174"/>
    <mergeCell ref="AN174:AQ174"/>
    <mergeCell ref="X107:Z107"/>
    <mergeCell ref="AA107:AC107"/>
    <mergeCell ref="AD107:AF107"/>
    <mergeCell ref="B108:D108"/>
    <mergeCell ref="E108:G108"/>
    <mergeCell ref="H108:J108"/>
    <mergeCell ref="L108:N108"/>
    <mergeCell ref="O108:Q108"/>
    <mergeCell ref="R108:T108"/>
    <mergeCell ref="U108:W108"/>
    <mergeCell ref="X106:Z106"/>
    <mergeCell ref="AA106:AC106"/>
    <mergeCell ref="AD106:AF106"/>
    <mergeCell ref="B107:D107"/>
    <mergeCell ref="E107:G107"/>
    <mergeCell ref="H107:J107"/>
    <mergeCell ref="L107:N107"/>
    <mergeCell ref="O107:Q107"/>
    <mergeCell ref="R107:T107"/>
    <mergeCell ref="U107:W107"/>
    <mergeCell ref="X105:Z105"/>
    <mergeCell ref="AA105:AC105"/>
    <mergeCell ref="AD105:AF105"/>
    <mergeCell ref="B106:D106"/>
    <mergeCell ref="E106:G106"/>
    <mergeCell ref="H106:J106"/>
    <mergeCell ref="L106:N106"/>
    <mergeCell ref="O106:Q106"/>
    <mergeCell ref="R106:T106"/>
    <mergeCell ref="U106:W106"/>
    <mergeCell ref="AA104:AC104"/>
    <mergeCell ref="AD104:AF104"/>
    <mergeCell ref="AG104:AR107"/>
    <mergeCell ref="B105:D105"/>
    <mergeCell ref="E105:G105"/>
    <mergeCell ref="H105:J105"/>
    <mergeCell ref="L105:N105"/>
    <mergeCell ref="O105:Q105"/>
    <mergeCell ref="R105:T105"/>
    <mergeCell ref="U105:W105"/>
    <mergeCell ref="B103:AJ103"/>
    <mergeCell ref="B104:D104"/>
    <mergeCell ref="E104:G104"/>
    <mergeCell ref="H104:J104"/>
    <mergeCell ref="K104:K114"/>
    <mergeCell ref="L104:N104"/>
    <mergeCell ref="O104:Q104"/>
    <mergeCell ref="R104:T104"/>
    <mergeCell ref="U104:W104"/>
    <mergeCell ref="X104:Z104"/>
    <mergeCell ref="AA101:AC102"/>
    <mergeCell ref="AD101:AF102"/>
    <mergeCell ref="AG101:AG102"/>
    <mergeCell ref="AH101:AH102"/>
    <mergeCell ref="AI101:AJ102"/>
    <mergeCell ref="B102:D102"/>
    <mergeCell ref="E102:L102"/>
    <mergeCell ref="A101:A102"/>
    <mergeCell ref="B101:D101"/>
    <mergeCell ref="E101:L101"/>
    <mergeCell ref="M101:Q102"/>
    <mergeCell ref="S101:W102"/>
    <mergeCell ref="X101:Z102"/>
    <mergeCell ref="AA99:AC100"/>
    <mergeCell ref="AD99:AF100"/>
    <mergeCell ref="AG99:AG100"/>
    <mergeCell ref="AH99:AH100"/>
    <mergeCell ref="AI99:AJ100"/>
    <mergeCell ref="B100:D100"/>
    <mergeCell ref="E100:L100"/>
    <mergeCell ref="A99:A100"/>
    <mergeCell ref="B99:D99"/>
    <mergeCell ref="E99:L99"/>
    <mergeCell ref="M99:Q100"/>
    <mergeCell ref="S99:W100"/>
    <mergeCell ref="X99:Z100"/>
    <mergeCell ref="AA97:AC98"/>
    <mergeCell ref="AD97:AF98"/>
    <mergeCell ref="AG97:AG98"/>
    <mergeCell ref="AH97:AH98"/>
    <mergeCell ref="AI97:AJ98"/>
    <mergeCell ref="B98:D98"/>
    <mergeCell ref="E98:L98"/>
    <mergeCell ref="A97:A98"/>
    <mergeCell ref="B97:D97"/>
    <mergeCell ref="E97:L97"/>
    <mergeCell ref="M97:Q98"/>
    <mergeCell ref="S97:W98"/>
    <mergeCell ref="X97:Z98"/>
    <mergeCell ref="AA95:AC96"/>
    <mergeCell ref="AD95:AF96"/>
    <mergeCell ref="AG95:AG96"/>
    <mergeCell ref="AH95:AH96"/>
    <mergeCell ref="AI95:AJ96"/>
    <mergeCell ref="B96:D96"/>
    <mergeCell ref="E96:L96"/>
    <mergeCell ref="A95:A96"/>
    <mergeCell ref="B95:D95"/>
    <mergeCell ref="E95:L95"/>
    <mergeCell ref="M95:Q96"/>
    <mergeCell ref="S95:W96"/>
    <mergeCell ref="X95:Z96"/>
    <mergeCell ref="AD93:AF94"/>
    <mergeCell ref="AG93:AG94"/>
    <mergeCell ref="AH93:AH94"/>
    <mergeCell ref="AI93:AJ94"/>
    <mergeCell ref="B94:D94"/>
    <mergeCell ref="E94:L94"/>
    <mergeCell ref="AA92:AC92"/>
    <mergeCell ref="AD92:AF92"/>
    <mergeCell ref="AI92:AJ92"/>
    <mergeCell ref="A93:A94"/>
    <mergeCell ref="B93:D93"/>
    <mergeCell ref="E93:L93"/>
    <mergeCell ref="M93:Q94"/>
    <mergeCell ref="S93:W94"/>
    <mergeCell ref="X93:Z94"/>
    <mergeCell ref="AA93:AC94"/>
    <mergeCell ref="AN89:AQ89"/>
    <mergeCell ref="A90:AR90"/>
    <mergeCell ref="C91:H91"/>
    <mergeCell ref="I91:J91"/>
    <mergeCell ref="K91:AJ91"/>
    <mergeCell ref="B92:L92"/>
    <mergeCell ref="M92:Q92"/>
    <mergeCell ref="R92:R102"/>
    <mergeCell ref="S92:W92"/>
    <mergeCell ref="X92:Z92"/>
    <mergeCell ref="U23:W23"/>
    <mergeCell ref="X23:Z23"/>
    <mergeCell ref="AA23:AC23"/>
    <mergeCell ref="AD23:AF23"/>
    <mergeCell ref="AH57:AL57"/>
    <mergeCell ref="A89:AM89"/>
    <mergeCell ref="U22:W22"/>
    <mergeCell ref="X22:Z22"/>
    <mergeCell ref="AA22:AC22"/>
    <mergeCell ref="AD22:AF22"/>
    <mergeCell ref="B23:D23"/>
    <mergeCell ref="E23:G23"/>
    <mergeCell ref="H23:J23"/>
    <mergeCell ref="L23:N23"/>
    <mergeCell ref="O23:Q23"/>
    <mergeCell ref="R23:T23"/>
    <mergeCell ref="U21:W21"/>
    <mergeCell ref="X21:Z21"/>
    <mergeCell ref="AA21:AC21"/>
    <mergeCell ref="AD21:AF21"/>
    <mergeCell ref="B22:D22"/>
    <mergeCell ref="E22:G22"/>
    <mergeCell ref="H22:J22"/>
    <mergeCell ref="L22:N22"/>
    <mergeCell ref="O22:Q22"/>
    <mergeCell ref="R22:T22"/>
    <mergeCell ref="U20:W20"/>
    <mergeCell ref="X20:Z20"/>
    <mergeCell ref="AA20:AC20"/>
    <mergeCell ref="AD20:AF20"/>
    <mergeCell ref="B21:D21"/>
    <mergeCell ref="E21:G21"/>
    <mergeCell ref="H21:J21"/>
    <mergeCell ref="L21:N21"/>
    <mergeCell ref="O21:Q21"/>
    <mergeCell ref="R21:T21"/>
    <mergeCell ref="X19:Z19"/>
    <mergeCell ref="AA19:AC19"/>
    <mergeCell ref="AD19:AF19"/>
    <mergeCell ref="AG19:AR22"/>
    <mergeCell ref="B20:D20"/>
    <mergeCell ref="E20:G20"/>
    <mergeCell ref="H20:J20"/>
    <mergeCell ref="L20:N20"/>
    <mergeCell ref="O20:Q20"/>
    <mergeCell ref="R20:T20"/>
    <mergeCell ref="B18:AJ18"/>
    <mergeCell ref="AT18:AY19"/>
    <mergeCell ref="B19:D19"/>
    <mergeCell ref="E19:G19"/>
    <mergeCell ref="H19:J19"/>
    <mergeCell ref="K19:K29"/>
    <mergeCell ref="L19:N19"/>
    <mergeCell ref="O19:Q19"/>
    <mergeCell ref="R19:T19"/>
    <mergeCell ref="U19:W19"/>
    <mergeCell ref="AA16:AC17"/>
    <mergeCell ref="AD16:AF17"/>
    <mergeCell ref="AG16:AG17"/>
    <mergeCell ref="AH16:AH17"/>
    <mergeCell ref="AI16:AJ17"/>
    <mergeCell ref="B17:D17"/>
    <mergeCell ref="E17:L17"/>
    <mergeCell ref="A16:A17"/>
    <mergeCell ref="B16:D16"/>
    <mergeCell ref="E16:L16"/>
    <mergeCell ref="M16:Q17"/>
    <mergeCell ref="S16:W17"/>
    <mergeCell ref="X16:Z17"/>
    <mergeCell ref="AD14:AF15"/>
    <mergeCell ref="AG14:AG15"/>
    <mergeCell ref="AH14:AH15"/>
    <mergeCell ref="AI14:AJ15"/>
    <mergeCell ref="B15:D15"/>
    <mergeCell ref="E15:L15"/>
    <mergeCell ref="A14:A15"/>
    <mergeCell ref="B14:D14"/>
    <mergeCell ref="E14:L14"/>
    <mergeCell ref="M14:Q15"/>
    <mergeCell ref="S14:W15"/>
    <mergeCell ref="X14:Z15"/>
    <mergeCell ref="AD12:AF13"/>
    <mergeCell ref="AG12:AG13"/>
    <mergeCell ref="AH12:AH13"/>
    <mergeCell ref="AI12:AJ13"/>
    <mergeCell ref="B13:D13"/>
    <mergeCell ref="E13:L13"/>
    <mergeCell ref="A12:A13"/>
    <mergeCell ref="B12:D12"/>
    <mergeCell ref="E12:L12"/>
    <mergeCell ref="M12:Q13"/>
    <mergeCell ref="S12:W13"/>
    <mergeCell ref="X12:Z13"/>
    <mergeCell ref="AD10:AF11"/>
    <mergeCell ref="AG10:AG11"/>
    <mergeCell ref="AH10:AH11"/>
    <mergeCell ref="AI10:AJ11"/>
    <mergeCell ref="B11:D11"/>
    <mergeCell ref="E11:L11"/>
    <mergeCell ref="AG8:AG9"/>
    <mergeCell ref="AH8:AH9"/>
    <mergeCell ref="AI8:AJ9"/>
    <mergeCell ref="B9:D9"/>
    <mergeCell ref="E9:L9"/>
    <mergeCell ref="A10:A11"/>
    <mergeCell ref="B10:D10"/>
    <mergeCell ref="E10:L10"/>
    <mergeCell ref="M10:Q11"/>
    <mergeCell ref="S10:W11"/>
    <mergeCell ref="AD7:AF7"/>
    <mergeCell ref="AI7:AJ7"/>
    <mergeCell ref="A8:A9"/>
    <mergeCell ref="B8:D8"/>
    <mergeCell ref="E8:L8"/>
    <mergeCell ref="M8:Q9"/>
    <mergeCell ref="S8:W9"/>
    <mergeCell ref="X8:Z9"/>
    <mergeCell ref="AA8:AC9"/>
    <mergeCell ref="AD8:AF9"/>
    <mergeCell ref="B7:L7"/>
    <mergeCell ref="M7:Q7"/>
    <mergeCell ref="R7:R17"/>
    <mergeCell ref="S7:W7"/>
    <mergeCell ref="X7:Z7"/>
    <mergeCell ref="AA7:AC7"/>
    <mergeCell ref="X10:Z11"/>
    <mergeCell ref="AA10:AC11"/>
    <mergeCell ref="AA12:AC13"/>
    <mergeCell ref="AA14:AC15"/>
    <mergeCell ref="AF4:AI4"/>
    <mergeCell ref="B5:J5"/>
    <mergeCell ref="L5:AF5"/>
    <mergeCell ref="C6:H6"/>
    <mergeCell ref="I6:J6"/>
    <mergeCell ref="K6:AJ6"/>
    <mergeCell ref="B3:O3"/>
    <mergeCell ref="P3:R3"/>
    <mergeCell ref="S3:X3"/>
    <mergeCell ref="AC3:AF3"/>
    <mergeCell ref="AH3:AI3"/>
    <mergeCell ref="A4:D4"/>
    <mergeCell ref="E4:M4"/>
    <mergeCell ref="N4:Q4"/>
    <mergeCell ref="R4:AA4"/>
    <mergeCell ref="AB4:AE4"/>
    <mergeCell ref="A1:AI1"/>
    <mergeCell ref="AX1:AY1"/>
    <mergeCell ref="A2:I2"/>
    <mergeCell ref="J2:X2"/>
    <mergeCell ref="Y2:AC2"/>
    <mergeCell ref="AD2:AI2"/>
  </mergeCells>
  <conditionalFormatting sqref="A93 A8 A178">
    <cfRule type="expression" dxfId="553" priority="4" stopIfTrue="1">
      <formula>IF(AL9&gt;0,0,1)</formula>
    </cfRule>
  </conditionalFormatting>
  <conditionalFormatting sqref="A95:A96 A10:A11 A180:A181">
    <cfRule type="expression" dxfId="552" priority="5" stopIfTrue="1">
      <formula>IF(AL9&gt;1,0,1)</formula>
    </cfRule>
  </conditionalFormatting>
  <conditionalFormatting sqref="A97:A98 A12:A13 A182:A183">
    <cfRule type="expression" dxfId="551" priority="6" stopIfTrue="1">
      <formula>IF(AL9&gt;2,0,1)</formula>
    </cfRule>
  </conditionalFormatting>
  <conditionalFormatting sqref="A99:A100 A14:A15 A184:A185">
    <cfRule type="expression" dxfId="550" priority="7" stopIfTrue="1">
      <formula>IF(AL9&gt;3,0,1)</formula>
    </cfRule>
  </conditionalFormatting>
  <conditionalFormatting sqref="A101:A102 A16:A17 A186:A187">
    <cfRule type="expression" dxfId="549" priority="8" stopIfTrue="1">
      <formula>IF(AL9&gt;4,0,1)</formula>
    </cfRule>
  </conditionalFormatting>
  <conditionalFormatting sqref="B8 B93 B178">
    <cfRule type="expression" dxfId="548" priority="9" stopIfTrue="1">
      <formula>IF(AL9&gt;0,0,1)</formula>
    </cfRule>
  </conditionalFormatting>
  <conditionalFormatting sqref="B9 B94 B179">
    <cfRule type="expression" dxfId="547" priority="10" stopIfTrue="1">
      <formula>IF(AL9&gt;0,0,1)</formula>
    </cfRule>
  </conditionalFormatting>
  <conditionalFormatting sqref="B10 B95 B180">
    <cfRule type="expression" dxfId="546" priority="11" stopIfTrue="1">
      <formula>IF(AL9&gt;1,0,1)</formula>
    </cfRule>
  </conditionalFormatting>
  <conditionalFormatting sqref="B11:D11 B96:D96 B181:D181">
    <cfRule type="expression" dxfId="545" priority="12" stopIfTrue="1">
      <formula>IF(AL9&gt;1,0,1)</formula>
    </cfRule>
  </conditionalFormatting>
  <conditionalFormatting sqref="B12:D12 B97:D97 B182:D182">
    <cfRule type="expression" dxfId="544" priority="13" stopIfTrue="1">
      <formula>IF(AL9&gt;2,0,1)</formula>
    </cfRule>
  </conditionalFormatting>
  <conditionalFormatting sqref="B13:D13 B98:D98 B183:D183">
    <cfRule type="expression" dxfId="543" priority="14" stopIfTrue="1">
      <formula>IF(AL9&gt;2,0,1)</formula>
    </cfRule>
  </conditionalFormatting>
  <conditionalFormatting sqref="B14:D14 B99:D99 B184:D184">
    <cfRule type="expression" dxfId="542" priority="15" stopIfTrue="1">
      <formula>IF(AL9&gt;3,0,1)</formula>
    </cfRule>
  </conditionalFormatting>
  <conditionalFormatting sqref="B15:D15 B100:D100 B185:D185">
    <cfRule type="expression" dxfId="541" priority="16" stopIfTrue="1">
      <formula>IF(AL9&gt;3,0,1)</formula>
    </cfRule>
  </conditionalFormatting>
  <conditionalFormatting sqref="B16:D16 B101:D101 B186:D186">
    <cfRule type="expression" dxfId="540" priority="17" stopIfTrue="1">
      <formula>IF(AL9&gt;4,0,1)</formula>
    </cfRule>
  </conditionalFormatting>
  <conditionalFormatting sqref="B17:D17 B102:D102 B187:D187">
    <cfRule type="expression" dxfId="539" priority="18" stopIfTrue="1">
      <formula>IF(AL9&gt;4,0,1)</formula>
    </cfRule>
  </conditionalFormatting>
  <conditionalFormatting sqref="E8 E93 E178">
    <cfRule type="expression" dxfId="538" priority="19" stopIfTrue="1">
      <formula>IF(AL9&gt;0,0,1)</formula>
    </cfRule>
  </conditionalFormatting>
  <conditionalFormatting sqref="E9 E94 E179">
    <cfRule type="expression" dxfId="537" priority="20" stopIfTrue="1">
      <formula>IF(AL9&gt;0,0,1)</formula>
    </cfRule>
  </conditionalFormatting>
  <conditionalFormatting sqref="E10 E95 E180">
    <cfRule type="expression" dxfId="536" priority="21" stopIfTrue="1">
      <formula>IF(AL9&gt;1,0,1)</formula>
    </cfRule>
  </conditionalFormatting>
  <conditionalFormatting sqref="E11 E96 E181">
    <cfRule type="expression" dxfId="535" priority="22" stopIfTrue="1">
      <formula>IF(AL9&gt;1,0,1)</formula>
    </cfRule>
  </conditionalFormatting>
  <conditionalFormatting sqref="E12 E97 E182">
    <cfRule type="expression" dxfId="534" priority="23" stopIfTrue="1">
      <formula>IF(AL9&gt;2,0,1)</formula>
    </cfRule>
  </conditionalFormatting>
  <conditionalFormatting sqref="E13 E98 E183">
    <cfRule type="expression" dxfId="533" priority="24" stopIfTrue="1">
      <formula>IF(AL9&gt;2,0,1)</formula>
    </cfRule>
  </conditionalFormatting>
  <conditionalFormatting sqref="E14 E99 E184">
    <cfRule type="expression" dxfId="532" priority="25" stopIfTrue="1">
      <formula>IF(AL9&gt;3,0,1)</formula>
    </cfRule>
  </conditionalFormatting>
  <conditionalFormatting sqref="E15 E100 E185">
    <cfRule type="expression" dxfId="531" priority="26" stopIfTrue="1">
      <formula>IF(AL9&gt;3,0,1)</formula>
    </cfRule>
  </conditionalFormatting>
  <conditionalFormatting sqref="E16 E101 E186">
    <cfRule type="expression" dxfId="530" priority="27" stopIfTrue="1">
      <formula>IF(AL9&gt;4,0,1)</formula>
    </cfRule>
  </conditionalFormatting>
  <conditionalFormatting sqref="E17 E102 E187">
    <cfRule type="expression" dxfId="529" priority="28" stopIfTrue="1">
      <formula>IF(AL9&gt;4,0,1)</formula>
    </cfRule>
  </conditionalFormatting>
  <conditionalFormatting sqref="AD93 AD8 AD178">
    <cfRule type="expression" dxfId="528" priority="29" stopIfTrue="1">
      <formula>IF(AL11=1,IF(AL9&gt;0,0,1),1)</formula>
    </cfRule>
  </conditionalFormatting>
  <conditionalFormatting sqref="AD95:AF96 AD10:AF11 AD180:AF181">
    <cfRule type="expression" dxfId="527" priority="30" stopIfTrue="1">
      <formula>IF(AL11=1,IF(AL9&gt;1,0,1),1)</formula>
    </cfRule>
  </conditionalFormatting>
  <conditionalFormatting sqref="AD97:AF98 AD12:AF13 AD182:AF183">
    <cfRule type="expression" dxfId="526" priority="31" stopIfTrue="1">
      <formula>IF(AL11=1,IF(AL9&gt;2,0,1),1)</formula>
    </cfRule>
  </conditionalFormatting>
  <conditionalFormatting sqref="AD99:AF100 AD14:AF15 AD184:AF185">
    <cfRule type="expression" dxfId="525" priority="32" stopIfTrue="1">
      <formula>IF(AL11=1,IF(AL9&gt;3,0,1),1)</formula>
    </cfRule>
  </conditionalFormatting>
  <conditionalFormatting sqref="AD101:AF102 AD16:AF17 AD186:AF187">
    <cfRule type="expression" dxfId="524" priority="33" stopIfTrue="1">
      <formula>IF(AL11=1,IF(AL9&gt;4,0,1),1)</formula>
    </cfRule>
  </conditionalFormatting>
  <conditionalFormatting sqref="AI93 AI8 AI178">
    <cfRule type="expression" dxfId="523" priority="34" stopIfTrue="1">
      <formula>IF(AL9&gt;0,0,1)</formula>
    </cfRule>
  </conditionalFormatting>
  <conditionalFormatting sqref="AI95:AJ96 AI10:AJ11 AI180:AJ181">
    <cfRule type="expression" dxfId="522" priority="35" stopIfTrue="1">
      <formula>IF(AL9&gt;1,0,1)</formula>
    </cfRule>
  </conditionalFormatting>
  <conditionalFormatting sqref="AI97:AJ98 AI12:AJ13 AI182:AJ183">
    <cfRule type="expression" dxfId="521" priority="36" stopIfTrue="1">
      <formula>IF(AL9&gt;2,0,1)</formula>
    </cfRule>
  </conditionalFormatting>
  <conditionalFormatting sqref="AI99:AJ100 AI14:AJ15 AI184:AJ185">
    <cfRule type="expression" dxfId="520" priority="37" stopIfTrue="1">
      <formula>IF(AL9&gt;3,0,1)</formula>
    </cfRule>
  </conditionalFormatting>
  <conditionalFormatting sqref="AI101:AJ102 AI16:AJ17 AI186:AJ187">
    <cfRule type="expression" dxfId="519" priority="38" stopIfTrue="1">
      <formula>IF(AL9&gt;4,0,1)</formula>
    </cfRule>
  </conditionalFormatting>
  <conditionalFormatting sqref="B104:D104 B19:D19 B189:D189">
    <cfRule type="expression" dxfId="518" priority="39" stopIfTrue="1">
      <formula>IF(AL8&gt;0,0,1)</formula>
    </cfRule>
  </conditionalFormatting>
  <conditionalFormatting sqref="E104:G104 E19:G19 E189:G189">
    <cfRule type="expression" dxfId="517" priority="40" stopIfTrue="1">
      <formula>IF(AL8&gt;1,0,1)</formula>
    </cfRule>
  </conditionalFormatting>
  <conditionalFormatting sqref="H104:J104 H19:J19 H189:J189">
    <cfRule type="expression" dxfId="516" priority="41" stopIfTrue="1">
      <formula>IF(AL8&gt;2,0,1)</formula>
    </cfRule>
  </conditionalFormatting>
  <conditionalFormatting sqref="L104:N104 L19:N19 L189:N189">
    <cfRule type="expression" dxfId="515" priority="42" stopIfTrue="1">
      <formula>IF(AL8&gt;3,0,1)</formula>
    </cfRule>
  </conditionalFormatting>
  <conditionalFormatting sqref="O104:Q104 O19:Q19 O189:Q189">
    <cfRule type="expression" dxfId="514" priority="43" stopIfTrue="1">
      <formula>IF(AL8&gt;4,0,1)</formula>
    </cfRule>
  </conditionalFormatting>
  <conditionalFormatting sqref="R104:T104 R19:T19 R189:T189">
    <cfRule type="expression" dxfId="513" priority="44" stopIfTrue="1">
      <formula>IF(AL8&gt;5,0,1)</formula>
    </cfRule>
  </conditionalFormatting>
  <conditionalFormatting sqref="U104:W104 U19:W19 U189:W189">
    <cfRule type="expression" dxfId="512" priority="45" stopIfTrue="1">
      <formula>IF(AL8&gt;6,0,1)</formula>
    </cfRule>
  </conditionalFormatting>
  <conditionalFormatting sqref="X104:Z104 X19:Z19 X189:Z189">
    <cfRule type="expression" dxfId="511" priority="46" stopIfTrue="1">
      <formula>IF(AL8&gt;7,0,1)</formula>
    </cfRule>
  </conditionalFormatting>
  <conditionalFormatting sqref="AA104:AC104 AA19:AC19 AA189:AC189">
    <cfRule type="expression" dxfId="510" priority="47" stopIfTrue="1">
      <formula>IF(AL8&gt;8,0,1)</formula>
    </cfRule>
  </conditionalFormatting>
  <conditionalFormatting sqref="AD104:AF104 AD19:AF19 AD189:AF189">
    <cfRule type="expression" dxfId="509" priority="48" stopIfTrue="1">
      <formula>IF(AL8&gt;9,0,1)</formula>
    </cfRule>
  </conditionalFormatting>
  <conditionalFormatting sqref="B20:D20 B105:D105 B190:D190">
    <cfRule type="expression" dxfId="508" priority="49" stopIfTrue="1">
      <formula>IF(AL8&gt;0,0,1)</formula>
    </cfRule>
  </conditionalFormatting>
  <conditionalFormatting sqref="E20:G20 E105:G105 E190:G190">
    <cfRule type="expression" dxfId="507" priority="50" stopIfTrue="1">
      <formula>IF(AL8&gt;1,0,1)</formula>
    </cfRule>
  </conditionalFormatting>
  <conditionalFormatting sqref="H20:J20 H105:J105 H190:J190">
    <cfRule type="expression" dxfId="506" priority="51" stopIfTrue="1">
      <formula>IF(AL8&gt;2,0,1)</formula>
    </cfRule>
  </conditionalFormatting>
  <conditionalFormatting sqref="L20:N20 L105:N105 L190:N190">
    <cfRule type="expression" dxfId="505" priority="52" stopIfTrue="1">
      <formula>IF(AL8&gt;3,0,1)</formula>
    </cfRule>
  </conditionalFormatting>
  <conditionalFormatting sqref="O20:Q20 O105:Q105 O190:Q190">
    <cfRule type="expression" dxfId="504" priority="53" stopIfTrue="1">
      <formula>IF(AL8&gt;4,0,1)</formula>
    </cfRule>
  </conditionalFormatting>
  <conditionalFormatting sqref="R20:T20 R105:T105 R190:T190">
    <cfRule type="expression" dxfId="503" priority="54" stopIfTrue="1">
      <formula>IF(AL8&gt;5,0,1)</formula>
    </cfRule>
  </conditionalFormatting>
  <conditionalFormatting sqref="U20:W20 U105:W105 U190:W190">
    <cfRule type="expression" dxfId="502" priority="55" stopIfTrue="1">
      <formula>IF(AL8&gt;6,0,1)</formula>
    </cfRule>
  </conditionalFormatting>
  <conditionalFormatting sqref="X20:Z20 X105:Z105 X190:Z190">
    <cfRule type="expression" dxfId="501" priority="56" stopIfTrue="1">
      <formula>IF(AL8&gt;7,0,1)</formula>
    </cfRule>
  </conditionalFormatting>
  <conditionalFormatting sqref="AA20:AC20 AA105:AC105 AA190:AC190">
    <cfRule type="expression" dxfId="500" priority="57" stopIfTrue="1">
      <formula>IF(AL8&gt;8,0,1)</formula>
    </cfRule>
  </conditionalFormatting>
  <conditionalFormatting sqref="AD20:AF20 AD105:AF105 AD190:AF190">
    <cfRule type="expression" dxfId="499" priority="58" stopIfTrue="1">
      <formula>IF(AL8&gt;9,0,1)</formula>
    </cfRule>
  </conditionalFormatting>
  <conditionalFormatting sqref="E22:G22 E107:G107 E192:G192">
    <cfRule type="expression" dxfId="498" priority="59" stopIfTrue="1">
      <formula>IF(AL8&gt;1,0,1)</formula>
    </cfRule>
  </conditionalFormatting>
  <conditionalFormatting sqref="H22:J22 H107:J107 H192:J192">
    <cfRule type="expression" dxfId="497" priority="60" stopIfTrue="1">
      <formula>IF(AL8&gt;2,0,1)</formula>
    </cfRule>
  </conditionalFormatting>
  <conditionalFormatting sqref="L22:N22 L107:N107 L192:N192">
    <cfRule type="expression" dxfId="496" priority="61" stopIfTrue="1">
      <formula>IF(AL8&gt;3,0,1)</formula>
    </cfRule>
  </conditionalFormatting>
  <conditionalFormatting sqref="O22:Q22 O107:Q107 O192:Q192">
    <cfRule type="expression" dxfId="495" priority="62" stopIfTrue="1">
      <formula>IF(AL8&gt;4,0,1)</formula>
    </cfRule>
  </conditionalFormatting>
  <conditionalFormatting sqref="R22:T22 R107:T107 R192:T192">
    <cfRule type="expression" dxfId="494" priority="63" stopIfTrue="1">
      <formula>IF(AL8&gt;5,0,1)</formula>
    </cfRule>
  </conditionalFormatting>
  <conditionalFormatting sqref="U22:W22 U107:W107 U192:W192">
    <cfRule type="expression" dxfId="493" priority="64" stopIfTrue="1">
      <formula>IF(AL8&gt;6,0,1)</formula>
    </cfRule>
  </conditionalFormatting>
  <conditionalFormatting sqref="X22:Z22 X107:Z107 X192:Z192">
    <cfRule type="expression" dxfId="492" priority="65" stopIfTrue="1">
      <formula>IF(AL8&gt;7,0,1)</formula>
    </cfRule>
  </conditionalFormatting>
  <conditionalFormatting sqref="AA22:AC22 AA107:AC107 AA192:AC192">
    <cfRule type="expression" dxfId="491" priority="66" stopIfTrue="1">
      <formula>IF(AL8&gt;8,0,1)</formula>
    </cfRule>
  </conditionalFormatting>
  <conditionalFormatting sqref="AD22:AF22 AD107:AF107 AD192:AF192">
    <cfRule type="expression" dxfId="490" priority="67" stopIfTrue="1">
      <formula>IF(AL8&gt;9,0,1)</formula>
    </cfRule>
  </conditionalFormatting>
  <conditionalFormatting sqref="B24 B109 B194">
    <cfRule type="expression" dxfId="489" priority="68" stopIfTrue="1">
      <formula>IF(AL8&gt;0,0,1)</formula>
    </cfRule>
  </conditionalFormatting>
  <conditionalFormatting sqref="C24 C109 C194">
    <cfRule type="expression" dxfId="488" priority="69" stopIfTrue="1">
      <formula>IF(AL8&gt;0,0,1)</formula>
    </cfRule>
  </conditionalFormatting>
  <conditionalFormatting sqref="D24 D109 D194">
    <cfRule type="expression" dxfId="487" priority="70" stopIfTrue="1">
      <formula>IF(AL8&gt;0,0,1)</formula>
    </cfRule>
  </conditionalFormatting>
  <conditionalFormatting sqref="E108:G108 E23:G23 E193:G193">
    <cfRule type="expression" dxfId="486" priority="71" stopIfTrue="1">
      <formula>IF(AL8&gt;1,0,1)</formula>
    </cfRule>
  </conditionalFormatting>
  <conditionalFormatting sqref="F24 F109 F194">
    <cfRule type="expression" dxfId="485" priority="72" stopIfTrue="1">
      <formula>IF(AL8&gt;1,0,1)</formula>
    </cfRule>
  </conditionalFormatting>
  <conditionalFormatting sqref="G24 G109 G194">
    <cfRule type="expression" dxfId="484" priority="73" stopIfTrue="1">
      <formula>IF(AL8&gt;1,0,1)</formula>
    </cfRule>
  </conditionalFormatting>
  <conditionalFormatting sqref="H108:J108 H23:J23 H193:J193">
    <cfRule type="expression" dxfId="483" priority="74" stopIfTrue="1">
      <formula>IF(AL8&gt;2,0,1)</formula>
    </cfRule>
  </conditionalFormatting>
  <conditionalFormatting sqref="I24 I109 I194">
    <cfRule type="expression" dxfId="482" priority="75" stopIfTrue="1">
      <formula>IF(AL8&gt;2,0,1)</formula>
    </cfRule>
  </conditionalFormatting>
  <conditionalFormatting sqref="J24 J109 J194">
    <cfRule type="expression" dxfId="481" priority="76" stopIfTrue="1">
      <formula>IF(AL8&gt;2,0,1)</formula>
    </cfRule>
  </conditionalFormatting>
  <conditionalFormatting sqref="L108:N108 L23:N23 L193:N193">
    <cfRule type="expression" dxfId="480" priority="77" stopIfTrue="1">
      <formula>IF(AL8&gt;3,0,1)</formula>
    </cfRule>
  </conditionalFormatting>
  <conditionalFormatting sqref="M24 M109 M194">
    <cfRule type="expression" dxfId="479" priority="78" stopIfTrue="1">
      <formula>IF(AL8&gt;3,0,1)</formula>
    </cfRule>
  </conditionalFormatting>
  <conditionalFormatting sqref="N24 N109 N194">
    <cfRule type="expression" dxfId="478" priority="79" stopIfTrue="1">
      <formula>IF(AL8&gt;3,0,1)</formula>
    </cfRule>
  </conditionalFormatting>
  <conditionalFormatting sqref="O108:Q108 O23:Q23 O193:Q193">
    <cfRule type="expression" dxfId="477" priority="80" stopIfTrue="1">
      <formula>IF(AL8&gt;4,0,1)</formula>
    </cfRule>
  </conditionalFormatting>
  <conditionalFormatting sqref="P24 P109 P194">
    <cfRule type="expression" dxfId="476" priority="81" stopIfTrue="1">
      <formula>IF(AL8&gt;4,0,1)</formula>
    </cfRule>
  </conditionalFormatting>
  <conditionalFormatting sqref="Q24 Q109 Q194">
    <cfRule type="expression" dxfId="475" priority="82" stopIfTrue="1">
      <formula>IF(AL8&gt;4,0,1)</formula>
    </cfRule>
  </conditionalFormatting>
  <conditionalFormatting sqref="R108:T108 R23:T23 R193:T193">
    <cfRule type="expression" dxfId="474" priority="83" stopIfTrue="1">
      <formula>IF(AL8&gt;5,0,1)</formula>
    </cfRule>
  </conditionalFormatting>
  <conditionalFormatting sqref="S24 S109 S194">
    <cfRule type="expression" dxfId="473" priority="84" stopIfTrue="1">
      <formula>IF(AL8&gt;5,0,1)</formula>
    </cfRule>
  </conditionalFormatting>
  <conditionalFormatting sqref="T24 T109 T194">
    <cfRule type="expression" dxfId="472" priority="85" stopIfTrue="1">
      <formula>IF(AL8&gt;5,0,1)</formula>
    </cfRule>
  </conditionalFormatting>
  <conditionalFormatting sqref="U108:W108 U23:W23 U193:W193">
    <cfRule type="expression" dxfId="471" priority="86" stopIfTrue="1">
      <formula>IF(AL8&gt;6,0,1)</formula>
    </cfRule>
  </conditionalFormatting>
  <conditionalFormatting sqref="V24 V109 V194">
    <cfRule type="expression" dxfId="470" priority="87" stopIfTrue="1">
      <formula>IF(AL8&gt;6,0,1)</formula>
    </cfRule>
  </conditionalFormatting>
  <conditionalFormatting sqref="W24 W109 W194">
    <cfRule type="expression" dxfId="469" priority="88" stopIfTrue="1">
      <formula>IF(AL8&gt;6,0,1)</formula>
    </cfRule>
  </conditionalFormatting>
  <conditionalFormatting sqref="X108:Z108 X23:Z23 X193:Z193">
    <cfRule type="expression" dxfId="468" priority="89" stopIfTrue="1">
      <formula>IF(AL8&gt;7,0,1)</formula>
    </cfRule>
  </conditionalFormatting>
  <conditionalFormatting sqref="Y24 Y109 Y194">
    <cfRule type="expression" dxfId="467" priority="90" stopIfTrue="1">
      <formula>IF(AL8&gt;7,0,1)</formula>
    </cfRule>
  </conditionalFormatting>
  <conditionalFormatting sqref="Z24 Z109 Z194">
    <cfRule type="expression" dxfId="466" priority="91" stopIfTrue="1">
      <formula>IF(AL8&gt;7,0,1)</formula>
    </cfRule>
  </conditionalFormatting>
  <conditionalFormatting sqref="AA108:AC108 AA23:AC23 AA193:AC193">
    <cfRule type="expression" dxfId="465" priority="92" stopIfTrue="1">
      <formula>IF(AL8&gt;8,0,1)</formula>
    </cfRule>
  </conditionalFormatting>
  <conditionalFormatting sqref="AB24 AB109 AB194">
    <cfRule type="expression" dxfId="464" priority="93" stopIfTrue="1">
      <formula>IF(AL8&gt;8,0,1)</formula>
    </cfRule>
  </conditionalFormatting>
  <conditionalFormatting sqref="AC24 AC109 AC194">
    <cfRule type="expression" dxfId="463" priority="94" stopIfTrue="1">
      <formula>IF(AL8&gt;8,0,1)</formula>
    </cfRule>
  </conditionalFormatting>
  <conditionalFormatting sqref="AD108:AF108 AD23:AF23 AD193:AF193">
    <cfRule type="expression" dxfId="462" priority="95" stopIfTrue="1">
      <formula>IF(AL8&gt;9,0,1)</formula>
    </cfRule>
  </conditionalFormatting>
  <conditionalFormatting sqref="AE24 AE109 AE194">
    <cfRule type="expression" dxfId="461" priority="96" stopIfTrue="1">
      <formula>IF(AL8&gt;9,0,1)</formula>
    </cfRule>
  </conditionalFormatting>
  <conditionalFormatting sqref="AF24 AF109 AF194">
    <cfRule type="expression" dxfId="460" priority="97" stopIfTrue="1">
      <formula>IF(AL8&gt;9,0,1)</formula>
    </cfRule>
  </conditionalFormatting>
  <conditionalFormatting sqref="A26 A111 A196">
    <cfRule type="expression" dxfId="459" priority="98" stopIfTrue="1">
      <formula>IF(AL7&gt;1,0,1)</formula>
    </cfRule>
  </conditionalFormatting>
  <conditionalFormatting sqref="A27 A112 A197">
    <cfRule type="expression" dxfId="458" priority="99" stopIfTrue="1">
      <formula>IF(AL7&gt;2,0,1)</formula>
    </cfRule>
  </conditionalFormatting>
  <conditionalFormatting sqref="A28 A113 A198">
    <cfRule type="expression" dxfId="457" priority="100" stopIfTrue="1">
      <formula>IF(AL7&gt;3,0,1)</formula>
    </cfRule>
  </conditionalFormatting>
  <conditionalFormatting sqref="A29 A114 A199">
    <cfRule type="expression" dxfId="456" priority="101" stopIfTrue="1">
      <formula>IF(AL7&gt;4,0,1)</formula>
    </cfRule>
  </conditionalFormatting>
  <conditionalFormatting sqref="B25:D25 B110:D110 B195:D195">
    <cfRule type="expression" dxfId="455" priority="102" stopIfTrue="1">
      <formula>IF($AL8&gt;0,0,1)</formula>
    </cfRule>
  </conditionalFormatting>
  <conditionalFormatting sqref="B26:D26 B111:D111 B196:D196">
    <cfRule type="expression" dxfId="454" priority="103" stopIfTrue="1">
      <formula>IF($AL8&lt;1,1,IF($AL7&lt;2,1,0))</formula>
    </cfRule>
  </conditionalFormatting>
  <conditionalFormatting sqref="B27:D27 B112:D112 B197:D197">
    <cfRule type="expression" dxfId="453" priority="104" stopIfTrue="1">
      <formula>IF($AL8&lt;1,1,IF($AL7&lt;3,1,0))</formula>
    </cfRule>
  </conditionalFormatting>
  <conditionalFormatting sqref="B28:D28 B113:D113 B198:D198">
    <cfRule type="expression" dxfId="452" priority="105" stopIfTrue="1">
      <formula>IF($AL8&lt;1,1,IF($AL7&lt;4,1,0))</formula>
    </cfRule>
  </conditionalFormatting>
  <conditionalFormatting sqref="B29:D29 B114:D114 B199:D199">
    <cfRule type="expression" dxfId="451" priority="106" stopIfTrue="1">
      <formula>IF($AL8&lt;1,1,IF($AL7&lt;5,1,0))</formula>
    </cfRule>
  </conditionalFormatting>
  <conditionalFormatting sqref="AH23 AH108 AH193">
    <cfRule type="expression" dxfId="450" priority="107" stopIfTrue="1">
      <formula>IF($AL8&lt;1,1,0)</formula>
    </cfRule>
  </conditionalFormatting>
  <conditionalFormatting sqref="AI23 AI108 AI193">
    <cfRule type="expression" dxfId="449" priority="108" stopIfTrue="1">
      <formula>IF($AL8&lt;2,1,0)</formula>
    </cfRule>
  </conditionalFormatting>
  <conditionalFormatting sqref="AJ23 AJ108 AJ193">
    <cfRule type="expression" dxfId="448" priority="109" stopIfTrue="1">
      <formula>IF($AL8&lt;3,1,0)</formula>
    </cfRule>
  </conditionalFormatting>
  <conditionalFormatting sqref="AK23 AK108 AK193">
    <cfRule type="expression" dxfId="447" priority="110" stopIfTrue="1">
      <formula>IF($AL8&lt;4,1,0)</formula>
    </cfRule>
  </conditionalFormatting>
  <conditionalFormatting sqref="AL23 AL108 AL193">
    <cfRule type="expression" dxfId="446" priority="111" stopIfTrue="1">
      <formula>IF($AL8&lt;5,1,0)</formula>
    </cfRule>
  </conditionalFormatting>
  <conditionalFormatting sqref="AM23 AM108 AM193">
    <cfRule type="expression" dxfId="445" priority="112" stopIfTrue="1">
      <formula>IF($AL8&lt;6,1,0)</formula>
    </cfRule>
  </conditionalFormatting>
  <conditionalFormatting sqref="AN23 AN108 AN193">
    <cfRule type="expression" dxfId="444" priority="113" stopIfTrue="1">
      <formula>IF($AL8&lt;7,1,0)</formula>
    </cfRule>
  </conditionalFormatting>
  <conditionalFormatting sqref="AO23 AO108 AO193">
    <cfRule type="expression" dxfId="443" priority="114" stopIfTrue="1">
      <formula>IF($AL8&lt;8,1,0)</formula>
    </cfRule>
  </conditionalFormatting>
  <conditionalFormatting sqref="AP23 AP108 AP193">
    <cfRule type="expression" dxfId="442" priority="115" stopIfTrue="1">
      <formula>IF($AL8&lt;9,1,0)</formula>
    </cfRule>
  </conditionalFormatting>
  <conditionalFormatting sqref="AQ23 AQ108 AQ193">
    <cfRule type="expression" dxfId="441" priority="116" stopIfTrue="1">
      <formula>IF($AL8&lt;10,1,0)</formula>
    </cfRule>
  </conditionalFormatting>
  <conditionalFormatting sqref="AR24 AR109 AR194">
    <cfRule type="expression" dxfId="440" priority="117" stopIfTrue="1">
      <formula>IF($AL9&gt;0,0,1)</formula>
    </cfRule>
  </conditionalFormatting>
  <conditionalFormatting sqref="AR25 AR110 AR195">
    <cfRule type="expression" dxfId="439" priority="118" stopIfTrue="1">
      <formula>IF($AL9&gt;1,0,1)</formula>
    </cfRule>
  </conditionalFormatting>
  <conditionalFormatting sqref="AR26 H25:J25 AR111 H110:J110 AR196 H195:J195">
    <cfRule type="expression" dxfId="438" priority="119" stopIfTrue="1">
      <formula>IF($AL8&gt;2,0,1)</formula>
    </cfRule>
  </conditionalFormatting>
  <conditionalFormatting sqref="L110:N110 L25:N25 L195:N195">
    <cfRule type="expression" dxfId="437" priority="120" stopIfTrue="1">
      <formula>IF($AL8&gt;3,0,1)</formula>
    </cfRule>
  </conditionalFormatting>
  <conditionalFormatting sqref="AR28 AR113 AR198">
    <cfRule type="expression" dxfId="436" priority="121" stopIfTrue="1">
      <formula>IF($AL9&gt;4,0,1)</formula>
    </cfRule>
  </conditionalFormatting>
  <conditionalFormatting sqref="E26:G26 E111:G111 E196:G196">
    <cfRule type="expression" dxfId="435" priority="122" stopIfTrue="1">
      <formula>IF($AL8&lt;2,1,IF($AL7&lt;2,1,0))</formula>
    </cfRule>
  </conditionalFormatting>
  <conditionalFormatting sqref="E27:G27 E112:G112 E197:G197">
    <cfRule type="expression" dxfId="434" priority="123" stopIfTrue="1">
      <formula>IF($AL8&lt;2,1,IF($AL7&lt;3,1,0))</formula>
    </cfRule>
  </conditionalFormatting>
  <conditionalFormatting sqref="E28:G28 E113:G113 E198:G198">
    <cfRule type="expression" dxfId="433" priority="124" stopIfTrue="1">
      <formula>IF($AL8&lt;2,1,IF($AL7&lt;4,1,0))</formula>
    </cfRule>
  </conditionalFormatting>
  <conditionalFormatting sqref="E29:G29 E114:G114 E199:G199">
    <cfRule type="expression" dxfId="432" priority="125" stopIfTrue="1">
      <formula>IF($AL8&lt;2,1,IF($AL7&lt;5,1,0))</formula>
    </cfRule>
  </conditionalFormatting>
  <conditionalFormatting sqref="O25:Q25 O110:Q110 O195:Q195">
    <cfRule type="expression" dxfId="431" priority="126" stopIfTrue="1">
      <formula>IF($AL8&gt;4,0,1)</formula>
    </cfRule>
  </conditionalFormatting>
  <conditionalFormatting sqref="R25:T25 R110:T110 R195:T195">
    <cfRule type="expression" dxfId="430" priority="127" stopIfTrue="1">
      <formula>IF($AL8&gt;5,0,1)</formula>
    </cfRule>
  </conditionalFormatting>
  <conditionalFormatting sqref="U25:W25 U110:W110 U195:W195">
    <cfRule type="expression" dxfId="429" priority="128" stopIfTrue="1">
      <formula>IF($AL8&gt;6,0,1)</formula>
    </cfRule>
  </conditionalFormatting>
  <conditionalFormatting sqref="X25:Z25 X110:Z110 X195:Z195">
    <cfRule type="expression" dxfId="428" priority="129" stopIfTrue="1">
      <formula>IF($AL8&gt;7,0,1)</formula>
    </cfRule>
  </conditionalFormatting>
  <conditionalFormatting sqref="AA25:AC25 AA110:AC110 AA195:AC195">
    <cfRule type="expression" dxfId="427" priority="130" stopIfTrue="1">
      <formula>IF($AL8&gt;8,0,1)</formula>
    </cfRule>
  </conditionalFormatting>
  <conditionalFormatting sqref="AD25:AF25 AD110:AF110 AD195:AF195">
    <cfRule type="expression" dxfId="426" priority="131" stopIfTrue="1">
      <formula>IF($AL8&gt;9,0,1)</formula>
    </cfRule>
  </conditionalFormatting>
  <conditionalFormatting sqref="H26:J26 H111:J111 H196:J196">
    <cfRule type="expression" dxfId="425" priority="132" stopIfTrue="1">
      <formula>IF($AL8&lt;3,1,IF($AL7&lt;2,1,0))</formula>
    </cfRule>
  </conditionalFormatting>
  <conditionalFormatting sqref="L26:N26 L111:N111 L196:N196">
    <cfRule type="expression" dxfId="424" priority="133" stopIfTrue="1">
      <formula>IF($AL8&lt;4,1,IF($AL7&lt;2,1,0))</formula>
    </cfRule>
  </conditionalFormatting>
  <conditionalFormatting sqref="O26:Q26 O111:Q111 O196:Q196">
    <cfRule type="expression" dxfId="423" priority="134" stopIfTrue="1">
      <formula>IF($AL8&lt;5,1,IF($AL7&lt;2,1,0))</formula>
    </cfRule>
  </conditionalFormatting>
  <conditionalFormatting sqref="R26:T26 R111:T111 R196:T196">
    <cfRule type="expression" dxfId="422" priority="135" stopIfTrue="1">
      <formula>IF($AL8&lt;6,1,IF($AL7&lt;2,1,0))</formula>
    </cfRule>
  </conditionalFormatting>
  <conditionalFormatting sqref="U26:W26 U111:W111 U196:W196">
    <cfRule type="expression" dxfId="421" priority="136" stopIfTrue="1">
      <formula>IF($AL8&lt;7,1,IF($AL7&lt;2,1,0))</formula>
    </cfRule>
  </conditionalFormatting>
  <conditionalFormatting sqref="X26:Z26 X111:Z111 X196:Z196">
    <cfRule type="expression" dxfId="420" priority="137" stopIfTrue="1">
      <formula>IF($AL8&lt;8,1,IF($AL7&lt;2,1,0))</formula>
    </cfRule>
  </conditionalFormatting>
  <conditionalFormatting sqref="AA26:AC26 AA111:AC111 AA196:AC196">
    <cfRule type="expression" dxfId="419" priority="138" stopIfTrue="1">
      <formula>IF($AL8&lt;9,1,IF($AL7&lt;2,1,0))</formula>
    </cfRule>
  </conditionalFormatting>
  <conditionalFormatting sqref="AD26:AF26 AD111:AF111 AD196:AF196">
    <cfRule type="expression" dxfId="418" priority="139" stopIfTrue="1">
      <formula>IF($AL8&lt;10,1,IF($AL7&lt;2,1,0))</formula>
    </cfRule>
  </conditionalFormatting>
  <conditionalFormatting sqref="H27:J27 H112:J112 H197:J197">
    <cfRule type="expression" dxfId="417" priority="140" stopIfTrue="1">
      <formula>IF($AL8&lt;3,1,IF($AL7&lt;3,1,0))</formula>
    </cfRule>
  </conditionalFormatting>
  <conditionalFormatting sqref="L27:N27 L112:N112 L197:N197">
    <cfRule type="expression" dxfId="416" priority="141" stopIfTrue="1">
      <formula>IF($AL8&lt;4,1,IF($AL7&lt;3,1,0))</formula>
    </cfRule>
  </conditionalFormatting>
  <conditionalFormatting sqref="O27:Q27 O112:Q112 O197:Q197">
    <cfRule type="expression" dxfId="415" priority="142" stopIfTrue="1">
      <formula>IF($AL8&lt;5,1,IF($AL7&lt;3,1,0))</formula>
    </cfRule>
  </conditionalFormatting>
  <conditionalFormatting sqref="R27:T27 R112:T112 R197:T197">
    <cfRule type="expression" dxfId="414" priority="143" stopIfTrue="1">
      <formula>IF($AL8&lt;6,1,IF($AL7&lt;3,1,0))</formula>
    </cfRule>
  </conditionalFormatting>
  <conditionalFormatting sqref="U27:W27 U112:W112 U197:W197">
    <cfRule type="expression" dxfId="413" priority="144" stopIfTrue="1">
      <formula>IF($AL8&lt;7,1,IF($AL7&lt;3,1,0))</formula>
    </cfRule>
  </conditionalFormatting>
  <conditionalFormatting sqref="X27:Z27 X112:Z112 X197:Z197">
    <cfRule type="expression" dxfId="412" priority="145" stopIfTrue="1">
      <formula>IF($AL8&lt;8,1,IF($AL7&lt;3,1,0))</formula>
    </cfRule>
  </conditionalFormatting>
  <conditionalFormatting sqref="AA27:AC27 AA112:AC112 AA197:AC197">
    <cfRule type="expression" dxfId="411" priority="146" stopIfTrue="1">
      <formula>IF($AL8&lt;9,1,IF($AL7&lt;3,1,0))</formula>
    </cfRule>
  </conditionalFormatting>
  <conditionalFormatting sqref="AD27:AF27 AD112:AF112 AD197:AF197">
    <cfRule type="expression" dxfId="410" priority="147" stopIfTrue="1">
      <formula>IF($AL8&lt;10,1,IF($AL7&lt;3,1,0))</formula>
    </cfRule>
  </conditionalFormatting>
  <conditionalFormatting sqref="H28:J28 H113:J113 H198:J198">
    <cfRule type="expression" dxfId="409" priority="148" stopIfTrue="1">
      <formula>IF($AL8&lt;3,1,IF($AL7&lt;4,1,0))</formula>
    </cfRule>
  </conditionalFormatting>
  <conditionalFormatting sqref="L28:N28 L113:N113 L198:N198">
    <cfRule type="expression" dxfId="408" priority="149" stopIfTrue="1">
      <formula>IF($AL8&lt;4,1,IF($AL7&lt;4,1,0))</formula>
    </cfRule>
  </conditionalFormatting>
  <conditionalFormatting sqref="O28:Q28 O113:Q113 O198:Q198">
    <cfRule type="expression" dxfId="407" priority="150" stopIfTrue="1">
      <formula>IF($AL8&lt;5,1,IF($AL7&lt;4,1,0))</formula>
    </cfRule>
  </conditionalFormatting>
  <conditionalFormatting sqref="R28:T28 R113:T113 R198:T198">
    <cfRule type="expression" dxfId="406" priority="151" stopIfTrue="1">
      <formula>IF($AL8&lt;6,1,IF($AL7&lt;4,1,0))</formula>
    </cfRule>
  </conditionalFormatting>
  <conditionalFormatting sqref="U28:W28 U113:W113 U198:W198">
    <cfRule type="expression" dxfId="405" priority="152" stopIfTrue="1">
      <formula>IF($AL8&lt;7,1,IF($AL7&lt;4,1,0))</formula>
    </cfRule>
  </conditionalFormatting>
  <conditionalFormatting sqref="X28:Z28 X113:Z113 X198:Z198">
    <cfRule type="expression" dxfId="404" priority="153" stopIfTrue="1">
      <formula>IF($AL8&lt;8,1,IF($AL7&lt;4,1,0))</formula>
    </cfRule>
  </conditionalFormatting>
  <conditionalFormatting sqref="AA28:AC28 AA113:AC113 AA198:AC198">
    <cfRule type="expression" dxfId="403" priority="154" stopIfTrue="1">
      <formula>IF($AL8&lt;9,1,IF($AL7&lt;4,1,0))</formula>
    </cfRule>
  </conditionalFormatting>
  <conditionalFormatting sqref="AD28:AF28 AD113:AF113 AD198:AF198">
    <cfRule type="expression" dxfId="402" priority="155" stopIfTrue="1">
      <formula>IF($AL8&lt;10,1,IF($AL7&lt;4,1,0))</formula>
    </cfRule>
  </conditionalFormatting>
  <conditionalFormatting sqref="H29:J29 H114:J114 H199:J199">
    <cfRule type="expression" dxfId="401" priority="156" stopIfTrue="1">
      <formula>IF($AL8&lt;3,1,IF($AL7&lt;5,1,0))</formula>
    </cfRule>
  </conditionalFormatting>
  <conditionalFormatting sqref="L29:N29 L114:N114 L199:N199">
    <cfRule type="expression" dxfId="400" priority="157" stopIfTrue="1">
      <formula>IF($AL8&lt;4,1,IF($AL7&lt;5,1,0))</formula>
    </cfRule>
  </conditionalFormatting>
  <conditionalFormatting sqref="O29:Q29 O114:Q114 O199:Q199">
    <cfRule type="expression" dxfId="399" priority="158" stopIfTrue="1">
      <formula>IF($AL8&lt;5,1,IF($AL7&lt;5,1,0))</formula>
    </cfRule>
  </conditionalFormatting>
  <conditionalFormatting sqref="R29:T29 R114:T114 R199:T199">
    <cfRule type="expression" dxfId="398" priority="159" stopIfTrue="1">
      <formula>IF($AL8&lt;6,1,IF($AL7&lt;5,1,0))</formula>
    </cfRule>
  </conditionalFormatting>
  <conditionalFormatting sqref="U29:W29 U114:W114 U199:W199">
    <cfRule type="expression" dxfId="397" priority="160" stopIfTrue="1">
      <formula>IF($AL8&lt;7,1,IF($AL7&lt;5,1,0))</formula>
    </cfRule>
  </conditionalFormatting>
  <conditionalFormatting sqref="X29:Z29 X114:Z114 X199:Z199">
    <cfRule type="expression" dxfId="396" priority="161" stopIfTrue="1">
      <formula>IF($AL8&lt;8,1,IF($AL7&lt;5,1,0))</formula>
    </cfRule>
  </conditionalFormatting>
  <conditionalFormatting sqref="AA29:AC29 AA114:AC114 AA199:AC199">
    <cfRule type="expression" dxfId="395" priority="162" stopIfTrue="1">
      <formula>IF($AL8&lt;9,1,IF($AL7&lt;5,1,0))</formula>
    </cfRule>
  </conditionalFormatting>
  <conditionalFormatting sqref="AD29:AF29 AD114:AF114 AD199:AF199">
    <cfRule type="expression" dxfId="394" priority="163" stopIfTrue="1">
      <formula>IF($AL8&lt;10,1,IF($AL7&lt;5,1,0))</formula>
    </cfRule>
  </conditionalFormatting>
  <conditionalFormatting sqref="S14:AC15 M14:Q15 S99:AC100 M99:Q100 S184:AC185 M184:Q185 AG14:AH15 AG99:AH100 AG184:AH185">
    <cfRule type="expression" dxfId="393" priority="164" stopIfTrue="1">
      <formula>IF($AL9&gt;3,0,1)</formula>
    </cfRule>
  </conditionalFormatting>
  <conditionalFormatting sqref="S16:AC17 M16:Q17 S101:AC102 M101:Q102 S186:AC187 M186:Q187 AG16:AH17 AG101:AH102 AG186:AH187">
    <cfRule type="expression" dxfId="392" priority="165" stopIfTrue="1">
      <formula>IF($AL9&gt;4,0,1)</formula>
    </cfRule>
  </conditionalFormatting>
  <conditionalFormatting sqref="S8:AC9 M8:Q9 S93:AC94 M93:Q94 S178:AC179 M178:Q179 AG8:AH9 AG93:AH94 AG178:AH179">
    <cfRule type="expression" dxfId="391" priority="166" stopIfTrue="1">
      <formula>IF($AL9&gt;0,0,1)</formula>
    </cfRule>
  </conditionalFormatting>
  <conditionalFormatting sqref="S10:AC11 M10:Q11 S95:AC96 M95:Q96 S180:AC181 M180:Q181 AG10:AH11 AG95:AH96 AG180:AH181">
    <cfRule type="expression" dxfId="390" priority="167" stopIfTrue="1">
      <formula>IF($AL9&gt;1,0,1)</formula>
    </cfRule>
  </conditionalFormatting>
  <conditionalFormatting sqref="S12:AC13 M12:Q13 S97:AC98 M97:Q98 S182:AC183 M182:Q183 AG12:AH13 AG97:AH98 AG182:AH183">
    <cfRule type="expression" dxfId="389" priority="168" stopIfTrue="1">
      <formula>IF($AL9&gt;2,0,1)</formula>
    </cfRule>
  </conditionalFormatting>
  <conditionalFormatting sqref="E109 E24 E194">
    <cfRule type="expression" dxfId="388" priority="169" stopIfTrue="1">
      <formula>IF(AL8&gt;1,0,1)</formula>
    </cfRule>
  </conditionalFormatting>
  <conditionalFormatting sqref="H109 H24 H194">
    <cfRule type="expression" dxfId="387" priority="170" stopIfTrue="1">
      <formula>IF(AL8&gt;2,0,1)</formula>
    </cfRule>
  </conditionalFormatting>
  <conditionalFormatting sqref="L109 L24 L194">
    <cfRule type="expression" dxfId="386" priority="171" stopIfTrue="1">
      <formula>IF(AL8&gt;3,0,1)</formula>
    </cfRule>
  </conditionalFormatting>
  <conditionalFormatting sqref="O109 O24 O194">
    <cfRule type="expression" dxfId="385" priority="172" stopIfTrue="1">
      <formula>IF(AL8&gt;4,0,1)</formula>
    </cfRule>
  </conditionalFormatting>
  <conditionalFormatting sqref="R109 R24 R194">
    <cfRule type="expression" dxfId="384" priority="173" stopIfTrue="1">
      <formula>IF(AL8&gt;5,0,1)</formula>
    </cfRule>
  </conditionalFormatting>
  <conditionalFormatting sqref="U109 U24 U194">
    <cfRule type="expression" dxfId="383" priority="174" stopIfTrue="1">
      <formula>IF(AL8&gt;6,0,1)</formula>
    </cfRule>
  </conditionalFormatting>
  <conditionalFormatting sqref="X109 X24 X194">
    <cfRule type="expression" dxfId="382" priority="175" stopIfTrue="1">
      <formula>IF(AL8&gt;7,0,1)</formula>
    </cfRule>
  </conditionalFormatting>
  <conditionalFormatting sqref="AA109 AA24 AA194">
    <cfRule type="expression" dxfId="381" priority="176" stopIfTrue="1">
      <formula>IF(AL8&gt;8,0,1)</formula>
    </cfRule>
  </conditionalFormatting>
  <conditionalFormatting sqref="AD109 AD24 AD194">
    <cfRule type="expression" dxfId="380" priority="177" stopIfTrue="1">
      <formula>IF(AL8&gt;9,0,1)</formula>
    </cfRule>
  </conditionalFormatting>
  <conditionalFormatting sqref="AR112 AR27 AR197">
    <cfRule type="expression" dxfId="379" priority="178" stopIfTrue="1">
      <formula>IF($AL9&gt;3,0,1)</formula>
    </cfRule>
  </conditionalFormatting>
  <conditionalFormatting sqref="E110:G110 E25:G25 E195:G195">
    <cfRule type="expression" dxfId="378" priority="179" stopIfTrue="1">
      <formula>IF($AL8&gt;1,0,1)</formula>
    </cfRule>
  </conditionalFormatting>
  <conditionalFormatting sqref="B106:D106 B21:D21 B191:D191">
    <cfRule type="expression" dxfId="377" priority="180" stopIfTrue="1">
      <formula>IF(AL8&gt;0,0,1)</formula>
    </cfRule>
  </conditionalFormatting>
  <conditionalFormatting sqref="E106:G106 E21:G21 E191:G191">
    <cfRule type="expression" dxfId="376" priority="181" stopIfTrue="1">
      <formula>IF(AL8&gt;1,0,1)</formula>
    </cfRule>
  </conditionalFormatting>
  <conditionalFormatting sqref="H106:K106 H21:K21 H191:K191">
    <cfRule type="expression" dxfId="375" priority="182" stopIfTrue="1">
      <formula>IF(AL8&gt;2,0,1)</formula>
    </cfRule>
  </conditionalFormatting>
  <conditionalFormatting sqref="L106:N106 L21:N21 L191:N191">
    <cfRule type="expression" dxfId="374" priority="183" stopIfTrue="1">
      <formula>IF(AL8&gt;3,0,1)</formula>
    </cfRule>
  </conditionalFormatting>
  <conditionalFormatting sqref="O106:Q106 O21:Q21 O191:Q191">
    <cfRule type="expression" dxfId="373" priority="184" stopIfTrue="1">
      <formula>IF(AL8&gt;4,0,1)</formula>
    </cfRule>
  </conditionalFormatting>
  <conditionalFormatting sqref="R106:T106 R21:T21 R191:T191">
    <cfRule type="expression" dxfId="372" priority="185" stopIfTrue="1">
      <formula>IF(AL8&gt;5,0,1)</formula>
    </cfRule>
  </conditionalFormatting>
  <conditionalFormatting sqref="U106:W106 U21:W21 U191:W191">
    <cfRule type="expression" dxfId="371" priority="186" stopIfTrue="1">
      <formula>IF(AL8&gt;6,0,1)</formula>
    </cfRule>
  </conditionalFormatting>
  <conditionalFormatting sqref="X106:Z106 X21:Z21 X191:Z191">
    <cfRule type="expression" dxfId="370" priority="187" stopIfTrue="1">
      <formula>IF(AL8&gt;7,0,1)</formula>
    </cfRule>
  </conditionalFormatting>
  <conditionalFormatting sqref="AA106:AC106 AA21:AC21 AA191:AC191">
    <cfRule type="expression" dxfId="369" priority="188" stopIfTrue="1">
      <formula>IF(AL8&gt;8,0,1)</formula>
    </cfRule>
  </conditionalFormatting>
  <conditionalFormatting sqref="AD106:AF106 AD21:AF21 AD191:AF191">
    <cfRule type="expression" dxfId="368" priority="189" stopIfTrue="1">
      <formula>IF(AL8&gt;9,0,1)</formula>
    </cfRule>
  </conditionalFormatting>
  <conditionalFormatting sqref="C315:C316 AE314:AE316 E310:J313 Y315:Y316 X306:X307 Y306:Z306 X309:Z314 AA310:AF313 AB314:AB316 I314:I316 E358:J361 B306:B307 C306:D306 B309:D314 X357:Z358 Y359:Y360 AB358:AB360 X354:X355 AE358:AE360 F362:F364 B354:B355 C354:D354 B357:D362 C363:C364 F314:F316 I362:I364">
    <cfRule type="expression" dxfId="367" priority="190" stopIfTrue="1">
      <formula>IF(#REF!&gt;0,0,1)</formula>
    </cfRule>
  </conditionalFormatting>
  <conditionalFormatting sqref="H306:H309 I306:K306 I309:J309 J314 AD306:AD309 AE306:AF306 AF314 AE309:AF309 AD314 H314 AD354:AD358 AF357:AF358 AE357 AG358 H362 H354:H357 I354:K354 I357:J357 J362">
    <cfRule type="expression" dxfId="366" priority="191" stopIfTrue="1">
      <formula>IF(#REF!&gt;2,0,1)</formula>
    </cfRule>
  </conditionalFormatting>
  <conditionalFormatting sqref="H315 J315 AD315 AF315 AD359 AF359 H363 J363">
    <cfRule type="expression" dxfId="365" priority="192" stopIfTrue="1">
      <formula>IF(#REF!&lt;3,1,IF(#REF!&lt;2,1,0))</formula>
    </cfRule>
  </conditionalFormatting>
  <conditionalFormatting sqref="J316 AD316 AF316 H364 AD360 AF360 H316 J364">
    <cfRule type="expression" dxfId="364" priority="193" stopIfTrue="1">
      <formula>IF(#REF!&lt;3,1,IF(#REF!&lt;3,1,0))</formula>
    </cfRule>
  </conditionalFormatting>
  <conditionalFormatting sqref="E306:E309 AB306:AC306 AC314 AB309:AC309 AA314 AA306:AA309 F306:G306 G314 F309:G309 E314 AA354:AA358 AC357:AC358 AB357 F354:G354 G362 F357:G357 E362 E354:E357">
    <cfRule type="expression" dxfId="363" priority="194" stopIfTrue="1">
      <formula>IF(#REF!&gt;1,0,1)</formula>
    </cfRule>
  </conditionalFormatting>
  <conditionalFormatting sqref="B315 D315 X315 Z315 X359 Z359 B363 D363">
    <cfRule type="expression" dxfId="362" priority="195" stopIfTrue="1">
      <formula>IF(#REF!&lt;1,1,IF(#REF!&lt;2,1,0))</formula>
    </cfRule>
  </conditionalFormatting>
  <conditionalFormatting sqref="E315 G315 AA315 AC315 AA359 AC359 E363 G363">
    <cfRule type="expression" dxfId="361" priority="196" stopIfTrue="1">
      <formula>IF(#REF!&lt;2,1,IF(#REF!&lt;2,1,0))</formula>
    </cfRule>
  </conditionalFormatting>
  <conditionalFormatting sqref="D316 X316 Z316 B364 X360 Z360 B316 D364">
    <cfRule type="expression" dxfId="360" priority="197" stopIfTrue="1">
      <formula>IF(#REF!&lt;1,1,IF(#REF!&lt;3,1,0))</formula>
    </cfRule>
  </conditionalFormatting>
  <conditionalFormatting sqref="G316 AA316 AC316 E364 AA360 AC360 E316 G364">
    <cfRule type="expression" dxfId="359" priority="198" stopIfTrue="1">
      <formula>IF(#REF!&lt;2,1,IF(#REF!&lt;3,1,0))</formula>
    </cfRule>
  </conditionalFormatting>
  <conditionalFormatting sqref="AH24:AQ28 AH109:AQ113 AH194:AQ198">
    <cfRule type="cellIs" dxfId="358" priority="199" stopIfTrue="1" operator="notBetween">
      <formula>-9999</formula>
      <formula>9999</formula>
    </cfRule>
  </conditionalFormatting>
  <conditionalFormatting sqref="B18 B103 B188">
    <cfRule type="expression" dxfId="357" priority="200" stopIfTrue="1">
      <formula>IF($AL$179&gt;0,0,1)</formula>
    </cfRule>
  </conditionalFormatting>
  <conditionalFormatting sqref="B22:D23 B107:D108 B192:D193">
    <cfRule type="cellIs" dxfId="356" priority="201" stopIfTrue="1" operator="equal">
      <formula>99</formula>
    </cfRule>
  </conditionalFormatting>
  <conditionalFormatting sqref="AD7 AD92 AD177">
    <cfRule type="expression" dxfId="355" priority="202" stopIfTrue="1">
      <formula>IF($AL$11=0,1,0)</formula>
    </cfRule>
  </conditionalFormatting>
  <conditionalFormatting sqref="C317 F317 Y317 AB317 C365 F365">
    <cfRule type="expression" dxfId="354" priority="203" stopIfTrue="1">
      <formula>IF(#REF!&gt;0,0,1)</formula>
    </cfRule>
  </conditionalFormatting>
  <conditionalFormatting sqref="K306">
    <cfRule type="expression" dxfId="353" priority="3" stopIfTrue="1">
      <formula>IF(ISNUMBER(K314),0,1)</formula>
    </cfRule>
  </conditionalFormatting>
  <conditionalFormatting sqref="K354">
    <cfRule type="expression" dxfId="352" priority="2" stopIfTrue="1">
      <formula>IF(ISNUMBER(K362),0,1)</formula>
    </cfRule>
  </conditionalFormatting>
  <conditionalFormatting sqref="AG306">
    <cfRule type="expression" dxfId="351" priority="1" stopIfTrue="1">
      <formula>IF(ISNUMBER(AG314),0,1)</formula>
    </cfRule>
  </conditionalFormatting>
  <pageMargins left="0.25" right="0.25" top="0.25" bottom="0.25" header="0" footer="0"/>
  <pageSetup scale="78" fitToHeight="6" orientation="landscape" r:id="rId1"/>
  <headerFooter alignWithMargins="0"/>
  <rowBreaks count="4" manualBreakCount="4">
    <brk id="90" max="43" man="1"/>
    <brk id="175" max="43" man="1"/>
    <brk id="260" max="43" man="1"/>
    <brk id="325" max="43" man="1"/>
  </rowBreaks>
  <drawing r:id="rId2"/>
  <legacyDrawing r:id="rId3"/>
  <controls>
    <mc:AlternateContent xmlns:mc="http://schemas.openxmlformats.org/markup-compatibility/2006">
      <mc:Choice Requires="x14">
        <control shapeId="34819" r:id="rId4" name="Pool3RecalcFinish">
          <controlPr defaultSize="0" autoLine="0" r:id="rId5">
            <anchor moveWithCells="1" sizeWithCells="1">
              <from>
                <xdr:col>37</xdr:col>
                <xdr:colOff>104775</xdr:colOff>
                <xdr:row>183</xdr:row>
                <xdr:rowOff>9525</xdr:rowOff>
              </from>
              <to>
                <xdr:col>42</xdr:col>
                <xdr:colOff>228600</xdr:colOff>
                <xdr:row>186</xdr:row>
                <xdr:rowOff>104775</xdr:rowOff>
              </to>
            </anchor>
          </controlPr>
        </control>
      </mc:Choice>
      <mc:Fallback>
        <control shapeId="34819" r:id="rId4" name="Pool3RecalcFinish"/>
      </mc:Fallback>
    </mc:AlternateContent>
    <mc:AlternateContent xmlns:mc="http://schemas.openxmlformats.org/markup-compatibility/2006">
      <mc:Choice Requires="x14">
        <control shapeId="34818" r:id="rId6" name="Pool2RecalcFinish">
          <controlPr defaultSize="0" autoLine="0" r:id="rId7">
            <anchor moveWithCells="1" sizeWithCells="1">
              <from>
                <xdr:col>37</xdr:col>
                <xdr:colOff>104775</xdr:colOff>
                <xdr:row>98</xdr:row>
                <xdr:rowOff>9525</xdr:rowOff>
              </from>
              <to>
                <xdr:col>42</xdr:col>
                <xdr:colOff>228600</xdr:colOff>
                <xdr:row>101</xdr:row>
                <xdr:rowOff>104775</xdr:rowOff>
              </to>
            </anchor>
          </controlPr>
        </control>
      </mc:Choice>
      <mc:Fallback>
        <control shapeId="34818" r:id="rId6" name="Pool2RecalcFinish"/>
      </mc:Fallback>
    </mc:AlternateContent>
    <mc:AlternateContent xmlns:mc="http://schemas.openxmlformats.org/markup-compatibility/2006">
      <mc:Choice Requires="x14">
        <control shapeId="34817" r:id="rId8" name="Pool1RecalcFinish">
          <controlPr defaultSize="0" autoLine="0" r:id="rId9">
            <anchor moveWithCells="1" sizeWithCells="1">
              <from>
                <xdr:col>37</xdr:col>
                <xdr:colOff>104775</xdr:colOff>
                <xdr:row>13</xdr:row>
                <xdr:rowOff>9525</xdr:rowOff>
              </from>
              <to>
                <xdr:col>42</xdr:col>
                <xdr:colOff>228600</xdr:colOff>
                <xdr:row>16</xdr:row>
                <xdr:rowOff>104775</xdr:rowOff>
              </to>
            </anchor>
          </controlPr>
        </control>
      </mc:Choice>
      <mc:Fallback>
        <control shapeId="34817" r:id="rId8" name="Pool1RecalcFinish"/>
      </mc:Fallback>
    </mc:AlternateContent>
  </control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J427"/>
  <sheetViews>
    <sheetView topLeftCell="C1" workbookViewId="0">
      <selection activeCell="K5" sqref="K5"/>
    </sheetView>
  </sheetViews>
  <sheetFormatPr defaultRowHeight="15"/>
  <cols>
    <col min="1" max="1" width="7.140625" style="472" bestFit="1" customWidth="1"/>
    <col min="2" max="2" width="2.42578125" style="472" hidden="1" customWidth="1"/>
    <col min="3" max="3" width="3" style="472" bestFit="1" customWidth="1"/>
    <col min="4" max="4" width="5.28515625" style="472" bestFit="1" customWidth="1"/>
    <col min="5" max="5" width="4.42578125" style="472" bestFit="1" customWidth="1"/>
    <col min="6" max="6" width="7.140625" style="472" bestFit="1" customWidth="1"/>
    <col min="7" max="7" width="13.85546875" style="472" bestFit="1" customWidth="1"/>
    <col min="8" max="8" width="36.85546875" style="472" bestFit="1" customWidth="1"/>
    <col min="9" max="9" width="28.42578125" style="472" bestFit="1" customWidth="1"/>
    <col min="10" max="10" width="5.7109375" style="472" bestFit="1" customWidth="1"/>
    <col min="11" max="11" width="13.85546875" style="473" bestFit="1" customWidth="1"/>
    <col min="12" max="12" width="5" style="472" customWidth="1"/>
    <col min="13" max="13" width="10" style="473" bestFit="1" customWidth="1"/>
    <col min="14" max="14" width="12" style="472" bestFit="1" customWidth="1"/>
    <col min="15" max="15" width="6.7109375" style="472" bestFit="1" customWidth="1"/>
    <col min="16" max="16" width="6.7109375" style="472" customWidth="1"/>
    <col min="17" max="19" width="7.7109375" style="472" bestFit="1" customWidth="1"/>
    <col min="20" max="20" width="6.7109375" style="472" bestFit="1" customWidth="1"/>
    <col min="21" max="23" width="7.7109375" style="472" bestFit="1" customWidth="1"/>
    <col min="24" max="24" width="6.7109375" style="472" bestFit="1" customWidth="1"/>
    <col min="25" max="27" width="7.7109375" style="472" bestFit="1" customWidth="1"/>
    <col min="28" max="28" width="6.7109375" style="472" bestFit="1" customWidth="1"/>
    <col min="29" max="34" width="9.140625" style="472"/>
    <col min="35" max="36" width="12" style="475" bestFit="1" customWidth="1"/>
    <col min="37" max="16384" width="9.140625" style="472"/>
  </cols>
  <sheetData>
    <row r="1" spans="1:28" ht="26.25">
      <c r="A1" s="471" t="s">
        <v>308</v>
      </c>
      <c r="C1" s="472" t="s">
        <v>309</v>
      </c>
      <c r="D1" s="472" t="s">
        <v>310</v>
      </c>
      <c r="E1" s="472" t="s">
        <v>9</v>
      </c>
      <c r="F1" s="472" t="s">
        <v>311</v>
      </c>
      <c r="G1" s="472" t="s">
        <v>312</v>
      </c>
      <c r="H1" s="472" t="s">
        <v>313</v>
      </c>
      <c r="I1" s="472" t="s">
        <v>5</v>
      </c>
      <c r="J1" s="472" t="s">
        <v>314</v>
      </c>
      <c r="K1" s="473" t="s">
        <v>315</v>
      </c>
      <c r="M1" s="473" t="s">
        <v>225</v>
      </c>
      <c r="N1" s="474" t="s">
        <v>316</v>
      </c>
      <c r="O1" s="474" t="s">
        <v>317</v>
      </c>
      <c r="P1" s="474" t="s">
        <v>317</v>
      </c>
      <c r="Q1" s="474" t="s">
        <v>318</v>
      </c>
      <c r="R1" s="474" t="s">
        <v>319</v>
      </c>
      <c r="S1" s="474" t="s">
        <v>320</v>
      </c>
      <c r="T1" s="474" t="s">
        <v>321</v>
      </c>
      <c r="U1" s="474" t="s">
        <v>322</v>
      </c>
      <c r="V1" s="474" t="s">
        <v>323</v>
      </c>
      <c r="W1" s="474" t="s">
        <v>324</v>
      </c>
      <c r="X1" s="474" t="s">
        <v>325</v>
      </c>
      <c r="Y1" s="474" t="s">
        <v>326</v>
      </c>
      <c r="Z1" s="474" t="s">
        <v>327</v>
      </c>
      <c r="AA1" s="474" t="s">
        <v>328</v>
      </c>
      <c r="AB1" s="474" t="s">
        <v>329</v>
      </c>
    </row>
    <row r="2" spans="1:28">
      <c r="A2" s="472">
        <v>3</v>
      </c>
      <c r="C2" s="472">
        <f t="shared" ref="C2:C65" si="0">IF(E2=E1,C1+1,1)</f>
        <v>1</v>
      </c>
      <c r="D2" s="472">
        <f t="shared" ref="D2:D65" si="1">IF(K2=K1,D1,C2)</f>
        <v>1</v>
      </c>
      <c r="E2" s="472">
        <f t="shared" ref="E2:E65" si="2">10+VALUE(RIGHT(LEFT(G2,3),1))</f>
        <v>11</v>
      </c>
      <c r="F2" s="472" t="str">
        <f>RIGHT(G2,2) &amp; IF(A2&lt;2,"x","")</f>
        <v>pm</v>
      </c>
      <c r="G2" s="472" t="s">
        <v>330</v>
      </c>
      <c r="H2" s="472" t="s">
        <v>331</v>
      </c>
      <c r="I2" s="472" t="s">
        <v>332</v>
      </c>
      <c r="K2" s="473">
        <f t="shared" ref="K2:K65" si="3">LOOKUP(1E+100,M2:AC2)</f>
        <v>1400</v>
      </c>
      <c r="M2" s="473">
        <v>1400</v>
      </c>
    </row>
    <row r="3" spans="1:28">
      <c r="A3" s="472">
        <v>1</v>
      </c>
      <c r="C3" s="472">
        <f t="shared" si="0"/>
        <v>2</v>
      </c>
      <c r="D3" s="472">
        <f t="shared" si="1"/>
        <v>2</v>
      </c>
      <c r="E3" s="472">
        <f t="shared" si="2"/>
        <v>11</v>
      </c>
      <c r="F3" s="472" t="str">
        <f t="shared" ref="F3:F66" si="4">RIGHT(G3,2) &amp; IF(A3&lt;2,"x","")</f>
        <v>pmx</v>
      </c>
      <c r="G3" s="472" t="s">
        <v>333</v>
      </c>
      <c r="H3" s="472" t="s">
        <v>334</v>
      </c>
      <c r="I3" s="472" t="s">
        <v>335</v>
      </c>
      <c r="K3" s="473">
        <f t="shared" si="3"/>
        <v>1437.1071378621887</v>
      </c>
      <c r="M3" s="473">
        <v>1400</v>
      </c>
      <c r="O3" s="472">
        <v>1437.1071378621887</v>
      </c>
    </row>
    <row r="4" spans="1:28">
      <c r="A4" s="472">
        <v>4</v>
      </c>
      <c r="C4" s="472">
        <f t="shared" si="0"/>
        <v>3</v>
      </c>
      <c r="D4" s="472">
        <f t="shared" si="1"/>
        <v>3</v>
      </c>
      <c r="E4" s="472">
        <f t="shared" si="2"/>
        <v>11</v>
      </c>
      <c r="F4" s="472" t="str">
        <f t="shared" si="4"/>
        <v>pm</v>
      </c>
      <c r="G4" s="472" t="s">
        <v>336</v>
      </c>
      <c r="H4" s="472" t="s">
        <v>337</v>
      </c>
      <c r="I4" s="472" t="s">
        <v>338</v>
      </c>
      <c r="K4" s="473">
        <f t="shared" si="3"/>
        <v>1232.8966626415247</v>
      </c>
      <c r="M4" s="473">
        <v>1300</v>
      </c>
      <c r="O4" s="472">
        <v>1232.8966626415247</v>
      </c>
    </row>
    <row r="5" spans="1:28">
      <c r="A5" s="472">
        <v>3</v>
      </c>
      <c r="C5" s="472">
        <f t="shared" si="0"/>
        <v>4</v>
      </c>
      <c r="D5" s="472">
        <f t="shared" si="1"/>
        <v>4</v>
      </c>
      <c r="E5" s="472">
        <f t="shared" si="2"/>
        <v>11</v>
      </c>
      <c r="F5" s="472" t="str">
        <f t="shared" si="4"/>
        <v>pm</v>
      </c>
      <c r="G5" s="472" t="s">
        <v>171</v>
      </c>
      <c r="H5" s="472" t="s">
        <v>154</v>
      </c>
      <c r="I5" s="472" t="s">
        <v>170</v>
      </c>
      <c r="K5" s="473">
        <f t="shared" si="3"/>
        <v>1266.6666666666667</v>
      </c>
      <c r="M5" s="473">
        <v>1266.6666666666667</v>
      </c>
    </row>
    <row r="6" spans="1:28">
      <c r="A6" s="472">
        <v>1</v>
      </c>
      <c r="C6" s="472">
        <f t="shared" si="0"/>
        <v>5</v>
      </c>
      <c r="D6" s="472">
        <f t="shared" si="1"/>
        <v>5</v>
      </c>
      <c r="E6" s="472">
        <f t="shared" si="2"/>
        <v>11</v>
      </c>
      <c r="F6" s="472" t="str">
        <f t="shared" si="4"/>
        <v>crx</v>
      </c>
      <c r="G6" s="472" t="s">
        <v>339</v>
      </c>
      <c r="H6" s="472" t="s">
        <v>340</v>
      </c>
      <c r="I6" s="472" t="s">
        <v>341</v>
      </c>
      <c r="K6" s="473">
        <f t="shared" si="3"/>
        <v>1200</v>
      </c>
      <c r="M6" s="473">
        <v>1200</v>
      </c>
    </row>
    <row r="7" spans="1:28">
      <c r="A7" s="472">
        <v>4</v>
      </c>
      <c r="C7" s="472">
        <f t="shared" si="0"/>
        <v>6</v>
      </c>
      <c r="D7" s="472">
        <f t="shared" si="1"/>
        <v>5</v>
      </c>
      <c r="E7" s="472">
        <f t="shared" si="2"/>
        <v>11</v>
      </c>
      <c r="F7" s="472" t="str">
        <f t="shared" si="4"/>
        <v>pm</v>
      </c>
      <c r="G7" s="472" t="s">
        <v>174</v>
      </c>
      <c r="H7" s="472" t="s">
        <v>86</v>
      </c>
      <c r="I7" s="472" t="s">
        <v>173</v>
      </c>
      <c r="K7" s="473">
        <f t="shared" si="3"/>
        <v>1200</v>
      </c>
      <c r="M7" s="473">
        <v>1200</v>
      </c>
    </row>
    <row r="8" spans="1:28">
      <c r="A8" s="472">
        <v>4</v>
      </c>
      <c r="C8" s="472">
        <f t="shared" si="0"/>
        <v>7</v>
      </c>
      <c r="D8" s="472">
        <f t="shared" si="1"/>
        <v>5</v>
      </c>
      <c r="E8" s="472">
        <f t="shared" si="2"/>
        <v>11</v>
      </c>
      <c r="F8" s="472" t="str">
        <f t="shared" si="4"/>
        <v>pm</v>
      </c>
      <c r="G8" s="472" t="s">
        <v>95</v>
      </c>
      <c r="H8" s="472" t="s">
        <v>86</v>
      </c>
      <c r="I8" s="472" t="s">
        <v>88</v>
      </c>
      <c r="K8" s="473">
        <f t="shared" si="3"/>
        <v>1200</v>
      </c>
      <c r="M8" s="473">
        <v>1200</v>
      </c>
    </row>
    <row r="9" spans="1:28">
      <c r="A9" s="472">
        <v>4</v>
      </c>
      <c r="C9" s="472">
        <f t="shared" si="0"/>
        <v>8</v>
      </c>
      <c r="D9" s="472">
        <f t="shared" si="1"/>
        <v>5</v>
      </c>
      <c r="E9" s="472">
        <f t="shared" si="2"/>
        <v>11</v>
      </c>
      <c r="F9" s="472" t="str">
        <f t="shared" si="4"/>
        <v>pm</v>
      </c>
      <c r="G9" s="472" t="s">
        <v>94</v>
      </c>
      <c r="H9" s="472" t="s">
        <v>86</v>
      </c>
      <c r="I9" s="472" t="s">
        <v>131</v>
      </c>
      <c r="K9" s="473">
        <f t="shared" si="3"/>
        <v>1200</v>
      </c>
      <c r="M9" s="473">
        <v>1200</v>
      </c>
    </row>
    <row r="10" spans="1:28">
      <c r="A10" s="472">
        <v>0</v>
      </c>
      <c r="C10" s="472">
        <f t="shared" si="0"/>
        <v>1</v>
      </c>
      <c r="D10" s="472">
        <f t="shared" si="1"/>
        <v>1</v>
      </c>
      <c r="E10" s="472">
        <f t="shared" si="2"/>
        <v>12</v>
      </c>
      <c r="F10" s="472" t="str">
        <f t="shared" si="4"/>
        <v>pmx</v>
      </c>
      <c r="G10" s="472" t="s">
        <v>342</v>
      </c>
      <c r="H10" s="472" t="s">
        <v>343</v>
      </c>
      <c r="I10" s="472" t="s">
        <v>344</v>
      </c>
      <c r="K10" s="473">
        <f t="shared" si="3"/>
        <v>1593.6286906433302</v>
      </c>
      <c r="M10" s="473">
        <v>1600</v>
      </c>
      <c r="O10" s="472">
        <v>1593.6286906433302</v>
      </c>
    </row>
    <row r="11" spans="1:28">
      <c r="A11" s="472">
        <v>1</v>
      </c>
      <c r="C11" s="472">
        <f t="shared" si="0"/>
        <v>2</v>
      </c>
      <c r="D11" s="472">
        <f t="shared" si="1"/>
        <v>2</v>
      </c>
      <c r="E11" s="472">
        <f t="shared" si="2"/>
        <v>12</v>
      </c>
      <c r="F11" s="472" t="str">
        <f t="shared" si="4"/>
        <v>pmx</v>
      </c>
      <c r="G11" s="472" t="s">
        <v>345</v>
      </c>
      <c r="H11" s="472" t="s">
        <v>346</v>
      </c>
      <c r="I11" s="472" t="s">
        <v>347</v>
      </c>
      <c r="K11" s="473">
        <f t="shared" si="3"/>
        <v>2000</v>
      </c>
      <c r="M11" s="473">
        <v>2000</v>
      </c>
    </row>
    <row r="12" spans="1:28">
      <c r="A12" s="472">
        <v>1</v>
      </c>
      <c r="C12" s="472">
        <f t="shared" si="0"/>
        <v>3</v>
      </c>
      <c r="D12" s="472">
        <f t="shared" si="1"/>
        <v>3</v>
      </c>
      <c r="E12" s="472">
        <f t="shared" si="2"/>
        <v>12</v>
      </c>
      <c r="F12" s="472" t="str">
        <f t="shared" si="4"/>
        <v>pmx</v>
      </c>
      <c r="G12" s="472" t="s">
        <v>348</v>
      </c>
      <c r="H12" s="472" t="s">
        <v>334</v>
      </c>
      <c r="I12" s="472" t="s">
        <v>349</v>
      </c>
      <c r="K12" s="473">
        <f t="shared" si="3"/>
        <v>1784.2249735467867</v>
      </c>
      <c r="M12" s="473">
        <v>1800</v>
      </c>
      <c r="O12" s="472">
        <v>1784.2249735467867</v>
      </c>
    </row>
    <row r="13" spans="1:28">
      <c r="A13" s="472">
        <v>1</v>
      </c>
      <c r="C13" s="472">
        <f t="shared" si="0"/>
        <v>4</v>
      </c>
      <c r="D13" s="472">
        <f t="shared" si="1"/>
        <v>4</v>
      </c>
      <c r="E13" s="472">
        <f t="shared" si="2"/>
        <v>12</v>
      </c>
      <c r="F13" s="472" t="str">
        <f t="shared" si="4"/>
        <v>sox</v>
      </c>
      <c r="G13" s="472" t="s">
        <v>350</v>
      </c>
      <c r="H13" s="472" t="s">
        <v>351</v>
      </c>
      <c r="I13" s="472" t="s">
        <v>352</v>
      </c>
      <c r="K13" s="473">
        <f t="shared" si="3"/>
        <v>1600</v>
      </c>
      <c r="M13" s="473">
        <v>1600</v>
      </c>
    </row>
    <row r="14" spans="1:28">
      <c r="A14" s="472">
        <v>1</v>
      </c>
      <c r="C14" s="472">
        <f t="shared" si="0"/>
        <v>5</v>
      </c>
      <c r="D14" s="472">
        <f t="shared" si="1"/>
        <v>5</v>
      </c>
      <c r="E14" s="472">
        <f t="shared" si="2"/>
        <v>12</v>
      </c>
      <c r="F14" s="472" t="str">
        <f t="shared" si="4"/>
        <v>pmx</v>
      </c>
      <c r="G14" s="472" t="s">
        <v>353</v>
      </c>
      <c r="H14" s="472" t="s">
        <v>343</v>
      </c>
      <c r="I14" s="472" t="s">
        <v>354</v>
      </c>
      <c r="K14" s="473">
        <f t="shared" si="3"/>
        <v>1614.2711162149969</v>
      </c>
      <c r="M14" s="473">
        <v>1600</v>
      </c>
      <c r="O14" s="472">
        <v>1614.2711162149969</v>
      </c>
    </row>
    <row r="15" spans="1:28">
      <c r="A15" s="472">
        <v>3</v>
      </c>
      <c r="C15" s="472">
        <f t="shared" si="0"/>
        <v>6</v>
      </c>
      <c r="D15" s="472">
        <f t="shared" si="1"/>
        <v>6</v>
      </c>
      <c r="E15" s="472">
        <f t="shared" si="2"/>
        <v>12</v>
      </c>
      <c r="F15" s="472" t="str">
        <f t="shared" si="4"/>
        <v>pm</v>
      </c>
      <c r="G15" s="472" t="s">
        <v>355</v>
      </c>
      <c r="H15" s="472" t="s">
        <v>331</v>
      </c>
      <c r="I15" s="472" t="s">
        <v>356</v>
      </c>
      <c r="K15" s="473">
        <f t="shared" si="3"/>
        <v>1600</v>
      </c>
      <c r="M15" s="473">
        <v>1600</v>
      </c>
    </row>
    <row r="16" spans="1:28">
      <c r="A16" s="472">
        <v>4</v>
      </c>
      <c r="C16" s="472">
        <f t="shared" si="0"/>
        <v>7</v>
      </c>
      <c r="D16" s="472">
        <f t="shared" si="1"/>
        <v>6</v>
      </c>
      <c r="E16" s="472">
        <f t="shared" si="2"/>
        <v>12</v>
      </c>
      <c r="F16" s="472" t="str">
        <f t="shared" si="4"/>
        <v>pm</v>
      </c>
      <c r="G16" s="472" t="s">
        <v>357</v>
      </c>
      <c r="H16" s="472" t="s">
        <v>92</v>
      </c>
      <c r="I16" s="472" t="s">
        <v>358</v>
      </c>
      <c r="K16" s="473">
        <f t="shared" si="3"/>
        <v>1600</v>
      </c>
      <c r="M16" s="473">
        <v>1600</v>
      </c>
    </row>
    <row r="17" spans="1:15">
      <c r="A17" s="472">
        <v>1</v>
      </c>
      <c r="C17" s="472">
        <f t="shared" si="0"/>
        <v>8</v>
      </c>
      <c r="D17" s="472">
        <f t="shared" si="1"/>
        <v>8</v>
      </c>
      <c r="E17" s="472">
        <f t="shared" si="2"/>
        <v>12</v>
      </c>
      <c r="F17" s="472" t="str">
        <f t="shared" si="4"/>
        <v>pmx</v>
      </c>
      <c r="G17" s="472" t="s">
        <v>359</v>
      </c>
      <c r="H17" s="472" t="s">
        <v>334</v>
      </c>
      <c r="I17" s="472" t="s">
        <v>360</v>
      </c>
      <c r="K17" s="473">
        <f t="shared" si="3"/>
        <v>1637.1751345319028</v>
      </c>
      <c r="M17" s="473">
        <v>1600</v>
      </c>
      <c r="O17" s="472">
        <v>1637.1751345319028</v>
      </c>
    </row>
    <row r="18" spans="1:15">
      <c r="A18" s="472">
        <v>4</v>
      </c>
      <c r="C18" s="472">
        <f t="shared" si="0"/>
        <v>9</v>
      </c>
      <c r="D18" s="472">
        <f t="shared" si="1"/>
        <v>9</v>
      </c>
      <c r="E18" s="472">
        <f t="shared" si="2"/>
        <v>12</v>
      </c>
      <c r="F18" s="472" t="str">
        <f t="shared" si="4"/>
        <v>pm</v>
      </c>
      <c r="G18" s="472" t="s">
        <v>153</v>
      </c>
      <c r="H18" s="472" t="s">
        <v>154</v>
      </c>
      <c r="I18" s="472" t="s">
        <v>152</v>
      </c>
      <c r="K18" s="473">
        <f t="shared" si="3"/>
        <v>1500</v>
      </c>
      <c r="M18" s="473">
        <v>1500</v>
      </c>
    </row>
    <row r="19" spans="1:15">
      <c r="A19" s="472">
        <v>5</v>
      </c>
      <c r="C19" s="472">
        <f t="shared" si="0"/>
        <v>10</v>
      </c>
      <c r="D19" s="472">
        <f t="shared" si="1"/>
        <v>10</v>
      </c>
      <c r="E19" s="472">
        <f t="shared" si="2"/>
        <v>12</v>
      </c>
      <c r="F19" s="472" t="str">
        <f t="shared" si="4"/>
        <v>pm</v>
      </c>
      <c r="G19" s="472" t="s">
        <v>361</v>
      </c>
      <c r="H19" s="472" t="s">
        <v>123</v>
      </c>
      <c r="I19" s="472" t="s">
        <v>362</v>
      </c>
      <c r="K19" s="473">
        <f t="shared" si="3"/>
        <v>1371.8915715290443</v>
      </c>
      <c r="M19" s="473">
        <v>1400</v>
      </c>
      <c r="O19" s="472">
        <v>1371.8915715290443</v>
      </c>
    </row>
    <row r="20" spans="1:15">
      <c r="A20" s="472">
        <v>2</v>
      </c>
      <c r="C20" s="472">
        <f t="shared" si="0"/>
        <v>11</v>
      </c>
      <c r="D20" s="472">
        <f t="shared" si="1"/>
        <v>11</v>
      </c>
      <c r="E20" s="472">
        <f t="shared" si="2"/>
        <v>12</v>
      </c>
      <c r="F20" s="472" t="str">
        <f t="shared" si="4"/>
        <v>cr</v>
      </c>
      <c r="G20" s="472" t="s">
        <v>363</v>
      </c>
      <c r="H20" s="472" t="s">
        <v>340</v>
      </c>
      <c r="I20" s="472" t="s">
        <v>364</v>
      </c>
      <c r="K20" s="473">
        <f t="shared" si="3"/>
        <v>1400</v>
      </c>
      <c r="M20" s="473">
        <v>1400</v>
      </c>
    </row>
    <row r="21" spans="1:15">
      <c r="A21" s="472">
        <v>1</v>
      </c>
      <c r="C21" s="472">
        <f t="shared" si="0"/>
        <v>12</v>
      </c>
      <c r="D21" s="472">
        <f t="shared" si="1"/>
        <v>12</v>
      </c>
      <c r="E21" s="472">
        <f t="shared" si="2"/>
        <v>12</v>
      </c>
      <c r="F21" s="472" t="str">
        <f t="shared" si="4"/>
        <v>pmx</v>
      </c>
      <c r="G21" s="472" t="s">
        <v>365</v>
      </c>
      <c r="H21" s="472" t="s">
        <v>343</v>
      </c>
      <c r="I21" s="472" t="s">
        <v>366</v>
      </c>
      <c r="K21" s="473">
        <f t="shared" si="3"/>
        <v>1382.8503500873553</v>
      </c>
      <c r="M21" s="473">
        <v>1400</v>
      </c>
      <c r="O21" s="472">
        <v>1382.8503500873553</v>
      </c>
    </row>
    <row r="22" spans="1:15">
      <c r="A22" s="472">
        <v>1</v>
      </c>
      <c r="C22" s="472">
        <f t="shared" si="0"/>
        <v>13</v>
      </c>
      <c r="D22" s="472">
        <f t="shared" si="1"/>
        <v>13</v>
      </c>
      <c r="E22" s="472">
        <f t="shared" si="2"/>
        <v>12</v>
      </c>
      <c r="F22" s="472" t="str">
        <f t="shared" si="4"/>
        <v>pmx</v>
      </c>
      <c r="G22" s="472" t="s">
        <v>367</v>
      </c>
      <c r="H22" s="472" t="s">
        <v>343</v>
      </c>
      <c r="I22" s="472" t="s">
        <v>368</v>
      </c>
      <c r="K22" s="473">
        <f t="shared" si="3"/>
        <v>1364.2754012513724</v>
      </c>
      <c r="M22" s="473">
        <v>1400</v>
      </c>
      <c r="O22" s="472">
        <v>1364.2754012513724</v>
      </c>
    </row>
    <row r="23" spans="1:15">
      <c r="A23" s="472">
        <v>4</v>
      </c>
      <c r="C23" s="472">
        <f t="shared" si="0"/>
        <v>14</v>
      </c>
      <c r="D23" s="472">
        <f t="shared" si="1"/>
        <v>14</v>
      </c>
      <c r="E23" s="472">
        <f t="shared" si="2"/>
        <v>12</v>
      </c>
      <c r="F23" s="472" t="str">
        <f t="shared" si="4"/>
        <v>pm</v>
      </c>
      <c r="G23" s="472" t="s">
        <v>369</v>
      </c>
      <c r="H23" s="472" t="s">
        <v>370</v>
      </c>
      <c r="I23" s="472" t="s">
        <v>371</v>
      </c>
      <c r="K23" s="473">
        <f t="shared" si="3"/>
        <v>1427.73073891227</v>
      </c>
      <c r="M23" s="473">
        <v>1400</v>
      </c>
      <c r="O23" s="472">
        <v>1427.73073891227</v>
      </c>
    </row>
    <row r="24" spans="1:15">
      <c r="A24" s="472">
        <v>3</v>
      </c>
      <c r="C24" s="472">
        <f t="shared" si="0"/>
        <v>15</v>
      </c>
      <c r="D24" s="472">
        <f t="shared" si="1"/>
        <v>15</v>
      </c>
      <c r="E24" s="472">
        <f t="shared" si="2"/>
        <v>12</v>
      </c>
      <c r="F24" s="472" t="str">
        <f t="shared" si="4"/>
        <v>pm</v>
      </c>
      <c r="G24" s="472" t="s">
        <v>372</v>
      </c>
      <c r="H24" s="472" t="s">
        <v>331</v>
      </c>
      <c r="I24" s="472" t="s">
        <v>373</v>
      </c>
      <c r="K24" s="473">
        <f t="shared" si="3"/>
        <v>1483.5590753889226</v>
      </c>
      <c r="M24" s="473">
        <v>1400</v>
      </c>
      <c r="O24" s="472">
        <v>1483.5590753889226</v>
      </c>
    </row>
    <row r="25" spans="1:15">
      <c r="A25" s="472">
        <v>3</v>
      </c>
      <c r="C25" s="472">
        <f t="shared" si="0"/>
        <v>16</v>
      </c>
      <c r="D25" s="472">
        <f t="shared" si="1"/>
        <v>16</v>
      </c>
      <c r="E25" s="472">
        <f t="shared" si="2"/>
        <v>12</v>
      </c>
      <c r="F25" s="472" t="str">
        <f t="shared" si="4"/>
        <v>pm</v>
      </c>
      <c r="G25" s="472" t="s">
        <v>374</v>
      </c>
      <c r="H25" s="472" t="s">
        <v>331</v>
      </c>
      <c r="I25" s="472" t="s">
        <v>375</v>
      </c>
      <c r="K25" s="473">
        <f t="shared" si="3"/>
        <v>1510.1815945823957</v>
      </c>
      <c r="M25" s="473">
        <v>1400</v>
      </c>
      <c r="O25" s="472">
        <v>1510.1815945823957</v>
      </c>
    </row>
    <row r="26" spans="1:15">
      <c r="A26" s="472">
        <v>3</v>
      </c>
      <c r="C26" s="472">
        <f t="shared" si="0"/>
        <v>17</v>
      </c>
      <c r="D26" s="472">
        <f t="shared" si="1"/>
        <v>17</v>
      </c>
      <c r="E26" s="472">
        <f t="shared" si="2"/>
        <v>12</v>
      </c>
      <c r="F26" s="472" t="str">
        <f t="shared" si="4"/>
        <v>pm</v>
      </c>
      <c r="G26" s="472" t="s">
        <v>376</v>
      </c>
      <c r="H26" s="472" t="s">
        <v>331</v>
      </c>
      <c r="I26" s="472" t="s">
        <v>377</v>
      </c>
      <c r="K26" s="473">
        <f t="shared" si="3"/>
        <v>1470.9901180578565</v>
      </c>
      <c r="M26" s="473">
        <v>1400</v>
      </c>
      <c r="O26" s="472">
        <v>1470.9901180578565</v>
      </c>
    </row>
    <row r="27" spans="1:15">
      <c r="A27" s="472">
        <v>3</v>
      </c>
      <c r="C27" s="472">
        <f t="shared" si="0"/>
        <v>18</v>
      </c>
      <c r="D27" s="472">
        <f t="shared" si="1"/>
        <v>18</v>
      </c>
      <c r="E27" s="472">
        <f t="shared" si="2"/>
        <v>12</v>
      </c>
      <c r="F27" s="472" t="str">
        <f t="shared" si="4"/>
        <v>pm</v>
      </c>
      <c r="G27" s="472" t="s">
        <v>378</v>
      </c>
      <c r="H27" s="472" t="s">
        <v>331</v>
      </c>
      <c r="I27" s="472" t="s">
        <v>379</v>
      </c>
      <c r="K27" s="473">
        <f t="shared" si="3"/>
        <v>1400</v>
      </c>
      <c r="M27" s="473">
        <v>1400</v>
      </c>
    </row>
    <row r="28" spans="1:15">
      <c r="A28" s="472">
        <v>3</v>
      </c>
      <c r="C28" s="472">
        <f t="shared" si="0"/>
        <v>19</v>
      </c>
      <c r="D28" s="472">
        <f t="shared" si="1"/>
        <v>18</v>
      </c>
      <c r="E28" s="472">
        <f t="shared" si="2"/>
        <v>12</v>
      </c>
      <c r="F28" s="472" t="str">
        <f t="shared" si="4"/>
        <v>pm</v>
      </c>
      <c r="G28" s="472" t="s">
        <v>380</v>
      </c>
      <c r="H28" s="472" t="s">
        <v>331</v>
      </c>
      <c r="I28" s="472" t="s">
        <v>381</v>
      </c>
      <c r="K28" s="473">
        <f t="shared" si="3"/>
        <v>1400</v>
      </c>
      <c r="M28" s="473">
        <v>1400</v>
      </c>
    </row>
    <row r="29" spans="1:15">
      <c r="A29" s="472">
        <v>4</v>
      </c>
      <c r="C29" s="472">
        <f t="shared" si="0"/>
        <v>20</v>
      </c>
      <c r="D29" s="472">
        <f t="shared" si="1"/>
        <v>18</v>
      </c>
      <c r="E29" s="472">
        <f t="shared" si="2"/>
        <v>12</v>
      </c>
      <c r="F29" s="472" t="str">
        <f t="shared" si="4"/>
        <v>pm</v>
      </c>
      <c r="G29" s="472" t="s">
        <v>382</v>
      </c>
      <c r="H29" s="472" t="s">
        <v>383</v>
      </c>
      <c r="I29" s="472" t="s">
        <v>384</v>
      </c>
      <c r="K29" s="473">
        <f t="shared" si="3"/>
        <v>1400</v>
      </c>
      <c r="M29" s="473">
        <v>1400</v>
      </c>
    </row>
    <row r="30" spans="1:15">
      <c r="A30" s="472">
        <v>5</v>
      </c>
      <c r="C30" s="472">
        <f t="shared" si="0"/>
        <v>21</v>
      </c>
      <c r="D30" s="472">
        <f t="shared" si="1"/>
        <v>18</v>
      </c>
      <c r="E30" s="472">
        <f t="shared" si="2"/>
        <v>12</v>
      </c>
      <c r="F30" s="472" t="str">
        <f t="shared" si="4"/>
        <v>pm</v>
      </c>
      <c r="G30" s="472" t="s">
        <v>385</v>
      </c>
      <c r="H30" s="472" t="s">
        <v>386</v>
      </c>
      <c r="I30" s="472" t="s">
        <v>387</v>
      </c>
      <c r="K30" s="473">
        <f t="shared" si="3"/>
        <v>1400</v>
      </c>
      <c r="M30" s="473">
        <v>1400</v>
      </c>
    </row>
    <row r="31" spans="1:15">
      <c r="A31" s="472">
        <v>4</v>
      </c>
      <c r="C31" s="472">
        <f t="shared" si="0"/>
        <v>22</v>
      </c>
      <c r="D31" s="472">
        <f t="shared" si="1"/>
        <v>18</v>
      </c>
      <c r="E31" s="472">
        <f t="shared" si="2"/>
        <v>12</v>
      </c>
      <c r="F31" s="472" t="str">
        <f t="shared" si="4"/>
        <v>pm</v>
      </c>
      <c r="G31" s="472" t="s">
        <v>388</v>
      </c>
      <c r="H31" s="472" t="s">
        <v>301</v>
      </c>
      <c r="I31" s="472" t="s">
        <v>389</v>
      </c>
      <c r="K31" s="473">
        <f t="shared" si="3"/>
        <v>1400</v>
      </c>
      <c r="M31" s="473">
        <v>1400</v>
      </c>
    </row>
    <row r="32" spans="1:15">
      <c r="A32" s="472">
        <v>2</v>
      </c>
      <c r="C32" s="472">
        <f t="shared" si="0"/>
        <v>23</v>
      </c>
      <c r="D32" s="472">
        <f t="shared" si="1"/>
        <v>18</v>
      </c>
      <c r="E32" s="472">
        <f t="shared" si="2"/>
        <v>12</v>
      </c>
      <c r="F32" s="472" t="str">
        <f t="shared" si="4"/>
        <v>pm</v>
      </c>
      <c r="G32" s="472" t="s">
        <v>390</v>
      </c>
      <c r="H32" s="472" t="s">
        <v>391</v>
      </c>
      <c r="I32" s="472" t="s">
        <v>392</v>
      </c>
      <c r="K32" s="473">
        <f t="shared" si="3"/>
        <v>1400</v>
      </c>
      <c r="M32" s="473">
        <v>1400</v>
      </c>
    </row>
    <row r="33" spans="1:15">
      <c r="A33" s="472">
        <v>6</v>
      </c>
      <c r="C33" s="472">
        <f t="shared" si="0"/>
        <v>24</v>
      </c>
      <c r="D33" s="472">
        <f t="shared" si="1"/>
        <v>24</v>
      </c>
      <c r="E33" s="472">
        <f t="shared" si="2"/>
        <v>12</v>
      </c>
      <c r="F33" s="472" t="str">
        <f t="shared" si="4"/>
        <v>pm</v>
      </c>
      <c r="G33" s="472" t="s">
        <v>393</v>
      </c>
      <c r="H33" s="472" t="s">
        <v>394</v>
      </c>
      <c r="I33" s="472" t="s">
        <v>395</v>
      </c>
      <c r="K33" s="473">
        <f t="shared" si="3"/>
        <v>1302.9386629423161</v>
      </c>
      <c r="M33" s="473">
        <v>1400</v>
      </c>
      <c r="O33" s="472">
        <v>1302.9386629423161</v>
      </c>
    </row>
    <row r="34" spans="1:15">
      <c r="A34" s="472">
        <v>4</v>
      </c>
      <c r="C34" s="472">
        <f t="shared" si="0"/>
        <v>25</v>
      </c>
      <c r="D34" s="472">
        <f t="shared" si="1"/>
        <v>25</v>
      </c>
      <c r="E34" s="472">
        <f t="shared" si="2"/>
        <v>12</v>
      </c>
      <c r="F34" s="472" t="str">
        <f t="shared" si="4"/>
        <v>pm</v>
      </c>
      <c r="G34" s="472" t="s">
        <v>396</v>
      </c>
      <c r="H34" s="472" t="s">
        <v>397</v>
      </c>
      <c r="I34" s="472" t="s">
        <v>398</v>
      </c>
      <c r="K34" s="473">
        <f t="shared" si="3"/>
        <v>1400</v>
      </c>
      <c r="M34" s="473">
        <v>1400</v>
      </c>
    </row>
    <row r="35" spans="1:15">
      <c r="A35" s="472">
        <v>3</v>
      </c>
      <c r="C35" s="472">
        <f t="shared" si="0"/>
        <v>26</v>
      </c>
      <c r="D35" s="472">
        <f t="shared" si="1"/>
        <v>25</v>
      </c>
      <c r="E35" s="472">
        <f t="shared" si="2"/>
        <v>12</v>
      </c>
      <c r="F35" s="472" t="str">
        <f t="shared" si="4"/>
        <v>pm</v>
      </c>
      <c r="G35" s="472" t="s">
        <v>399</v>
      </c>
      <c r="H35" s="472" t="s">
        <v>397</v>
      </c>
      <c r="I35" s="472" t="s">
        <v>400</v>
      </c>
      <c r="K35" s="473">
        <f t="shared" si="3"/>
        <v>1400</v>
      </c>
      <c r="M35" s="473">
        <v>1400</v>
      </c>
    </row>
    <row r="36" spans="1:15">
      <c r="A36" s="472">
        <v>4</v>
      </c>
      <c r="C36" s="472">
        <f t="shared" si="0"/>
        <v>27</v>
      </c>
      <c r="D36" s="472">
        <f t="shared" si="1"/>
        <v>25</v>
      </c>
      <c r="E36" s="472">
        <f t="shared" si="2"/>
        <v>12</v>
      </c>
      <c r="F36" s="472" t="str">
        <f t="shared" si="4"/>
        <v>pm</v>
      </c>
      <c r="G36" s="472" t="s">
        <v>401</v>
      </c>
      <c r="H36" s="472" t="s">
        <v>402</v>
      </c>
      <c r="I36" s="472" t="s">
        <v>403</v>
      </c>
      <c r="K36" s="473">
        <f t="shared" si="3"/>
        <v>1400</v>
      </c>
      <c r="M36" s="473">
        <v>1400</v>
      </c>
    </row>
    <row r="37" spans="1:15">
      <c r="A37" s="472">
        <v>2</v>
      </c>
      <c r="C37" s="472">
        <f t="shared" si="0"/>
        <v>28</v>
      </c>
      <c r="D37" s="472">
        <f t="shared" si="1"/>
        <v>25</v>
      </c>
      <c r="E37" s="472">
        <f t="shared" si="2"/>
        <v>12</v>
      </c>
      <c r="F37" s="472" t="str">
        <f t="shared" si="4"/>
        <v>cr</v>
      </c>
      <c r="G37" s="472" t="s">
        <v>404</v>
      </c>
      <c r="H37" s="472" t="s">
        <v>405</v>
      </c>
      <c r="I37" s="472" t="s">
        <v>406</v>
      </c>
      <c r="K37" s="473">
        <f t="shared" si="3"/>
        <v>1400</v>
      </c>
      <c r="M37" s="473">
        <v>1400</v>
      </c>
    </row>
    <row r="38" spans="1:15">
      <c r="A38" s="472">
        <v>3</v>
      </c>
      <c r="C38" s="472">
        <f t="shared" si="0"/>
        <v>29</v>
      </c>
      <c r="D38" s="472">
        <f t="shared" si="1"/>
        <v>25</v>
      </c>
      <c r="E38" s="472">
        <f t="shared" si="2"/>
        <v>12</v>
      </c>
      <c r="F38" s="472" t="str">
        <f t="shared" si="4"/>
        <v>pm</v>
      </c>
      <c r="G38" s="472" t="s">
        <v>159</v>
      </c>
      <c r="H38" s="472" t="s">
        <v>154</v>
      </c>
      <c r="I38" s="472" t="s">
        <v>158</v>
      </c>
      <c r="K38" s="473">
        <f t="shared" si="3"/>
        <v>1400</v>
      </c>
      <c r="M38" s="473">
        <v>1400</v>
      </c>
    </row>
    <row r="39" spans="1:15">
      <c r="A39" s="472">
        <v>3</v>
      </c>
      <c r="C39" s="472">
        <f t="shared" si="0"/>
        <v>30</v>
      </c>
      <c r="D39" s="472">
        <f t="shared" si="1"/>
        <v>25</v>
      </c>
      <c r="E39" s="472">
        <f t="shared" si="2"/>
        <v>12</v>
      </c>
      <c r="F39" s="472" t="str">
        <f t="shared" si="4"/>
        <v>pm</v>
      </c>
      <c r="G39" s="472" t="s">
        <v>162</v>
      </c>
      <c r="H39" s="472" t="s">
        <v>154</v>
      </c>
      <c r="I39" s="472" t="s">
        <v>161</v>
      </c>
      <c r="K39" s="473">
        <f t="shared" si="3"/>
        <v>1400</v>
      </c>
      <c r="M39" s="473">
        <v>1400</v>
      </c>
    </row>
    <row r="40" spans="1:15">
      <c r="A40" s="472">
        <v>3</v>
      </c>
      <c r="C40" s="472">
        <f t="shared" si="0"/>
        <v>31</v>
      </c>
      <c r="D40" s="472">
        <f t="shared" si="1"/>
        <v>25</v>
      </c>
      <c r="E40" s="472">
        <f t="shared" si="2"/>
        <v>12</v>
      </c>
      <c r="F40" s="472" t="str">
        <f t="shared" si="4"/>
        <v>pm</v>
      </c>
      <c r="G40" s="472" t="s">
        <v>165</v>
      </c>
      <c r="H40" s="472" t="s">
        <v>154</v>
      </c>
      <c r="I40" s="472" t="s">
        <v>164</v>
      </c>
      <c r="K40" s="473">
        <f t="shared" si="3"/>
        <v>1400</v>
      </c>
      <c r="M40" s="473">
        <v>1400</v>
      </c>
    </row>
    <row r="41" spans="1:15">
      <c r="A41" s="472">
        <v>3</v>
      </c>
      <c r="C41" s="472">
        <f t="shared" si="0"/>
        <v>32</v>
      </c>
      <c r="D41" s="472">
        <f t="shared" si="1"/>
        <v>25</v>
      </c>
      <c r="E41" s="472">
        <f t="shared" si="2"/>
        <v>12</v>
      </c>
      <c r="F41" s="472" t="str">
        <f t="shared" si="4"/>
        <v>pm</v>
      </c>
      <c r="G41" s="472" t="s">
        <v>168</v>
      </c>
      <c r="H41" s="472" t="s">
        <v>154</v>
      </c>
      <c r="I41" s="472" t="s">
        <v>167</v>
      </c>
      <c r="K41" s="473">
        <f t="shared" si="3"/>
        <v>1400</v>
      </c>
      <c r="M41" s="473">
        <v>1400</v>
      </c>
    </row>
    <row r="42" spans="1:15">
      <c r="A42" s="472">
        <v>5</v>
      </c>
      <c r="C42" s="472">
        <f t="shared" si="0"/>
        <v>33</v>
      </c>
      <c r="D42" s="472">
        <f t="shared" si="1"/>
        <v>33</v>
      </c>
      <c r="E42" s="472">
        <f t="shared" si="2"/>
        <v>12</v>
      </c>
      <c r="F42" s="472" t="str">
        <f t="shared" si="4"/>
        <v>pm</v>
      </c>
      <c r="G42" s="472" t="s">
        <v>407</v>
      </c>
      <c r="H42" s="472" t="s">
        <v>408</v>
      </c>
      <c r="I42" s="472" t="s">
        <v>409</v>
      </c>
      <c r="K42" s="473">
        <f t="shared" si="3"/>
        <v>1318.321316052037</v>
      </c>
      <c r="M42" s="473">
        <v>1400</v>
      </c>
      <c r="O42" s="472">
        <v>1318.321316052037</v>
      </c>
    </row>
    <row r="43" spans="1:15">
      <c r="A43" s="472">
        <v>5</v>
      </c>
      <c r="C43" s="472">
        <f t="shared" si="0"/>
        <v>34</v>
      </c>
      <c r="D43" s="472">
        <f t="shared" si="1"/>
        <v>34</v>
      </c>
      <c r="E43" s="472">
        <f t="shared" si="2"/>
        <v>12</v>
      </c>
      <c r="F43" s="472" t="str">
        <f t="shared" si="4"/>
        <v>pm</v>
      </c>
      <c r="G43" s="472" t="s">
        <v>410</v>
      </c>
      <c r="H43" s="472" t="s">
        <v>411</v>
      </c>
      <c r="I43" s="472" t="s">
        <v>412</v>
      </c>
      <c r="K43" s="473">
        <f t="shared" si="3"/>
        <v>1400</v>
      </c>
      <c r="M43" s="473">
        <v>1400</v>
      </c>
    </row>
    <row r="44" spans="1:15">
      <c r="A44" s="472">
        <v>5</v>
      </c>
      <c r="C44" s="472">
        <f t="shared" si="0"/>
        <v>35</v>
      </c>
      <c r="D44" s="472">
        <f t="shared" si="1"/>
        <v>34</v>
      </c>
      <c r="E44" s="472">
        <f t="shared" si="2"/>
        <v>12</v>
      </c>
      <c r="F44" s="472" t="str">
        <f t="shared" si="4"/>
        <v>pm</v>
      </c>
      <c r="G44" s="472" t="s">
        <v>413</v>
      </c>
      <c r="H44" s="472" t="s">
        <v>86</v>
      </c>
      <c r="I44" s="472" t="s">
        <v>414</v>
      </c>
      <c r="K44" s="473">
        <f t="shared" si="3"/>
        <v>1400</v>
      </c>
      <c r="M44" s="473">
        <v>1400</v>
      </c>
    </row>
    <row r="45" spans="1:15">
      <c r="A45" s="472">
        <v>4</v>
      </c>
      <c r="C45" s="472">
        <f t="shared" si="0"/>
        <v>36</v>
      </c>
      <c r="D45" s="472">
        <f t="shared" si="1"/>
        <v>34</v>
      </c>
      <c r="E45" s="472">
        <f t="shared" si="2"/>
        <v>12</v>
      </c>
      <c r="F45" s="472" t="str">
        <f t="shared" si="4"/>
        <v>pm</v>
      </c>
      <c r="G45" s="472" t="s">
        <v>415</v>
      </c>
      <c r="H45" s="472" t="s">
        <v>416</v>
      </c>
      <c r="I45" s="472" t="s">
        <v>417</v>
      </c>
      <c r="K45" s="473">
        <f t="shared" si="3"/>
        <v>1400</v>
      </c>
      <c r="M45" s="473">
        <v>1400</v>
      </c>
    </row>
    <row r="46" spans="1:15">
      <c r="A46" s="472">
        <v>4</v>
      </c>
      <c r="C46" s="472">
        <f t="shared" si="0"/>
        <v>37</v>
      </c>
      <c r="D46" s="472">
        <f t="shared" si="1"/>
        <v>34</v>
      </c>
      <c r="E46" s="472">
        <f t="shared" si="2"/>
        <v>12</v>
      </c>
      <c r="F46" s="472" t="str">
        <f t="shared" si="4"/>
        <v>pm</v>
      </c>
      <c r="G46" s="472" t="s">
        <v>418</v>
      </c>
      <c r="H46" s="472" t="s">
        <v>416</v>
      </c>
      <c r="I46" s="472" t="s">
        <v>419</v>
      </c>
      <c r="K46" s="473">
        <f t="shared" si="3"/>
        <v>1400</v>
      </c>
      <c r="M46" s="473">
        <v>1400</v>
      </c>
    </row>
    <row r="47" spans="1:15">
      <c r="A47" s="472">
        <v>1</v>
      </c>
      <c r="C47" s="472">
        <f t="shared" si="0"/>
        <v>38</v>
      </c>
      <c r="D47" s="472">
        <f t="shared" si="1"/>
        <v>34</v>
      </c>
      <c r="E47" s="472">
        <f t="shared" si="2"/>
        <v>12</v>
      </c>
      <c r="F47" s="472" t="str">
        <f t="shared" si="4"/>
        <v>crx</v>
      </c>
      <c r="G47" s="472" t="s">
        <v>138</v>
      </c>
      <c r="H47" s="472" t="s">
        <v>139</v>
      </c>
      <c r="I47" s="472" t="s">
        <v>137</v>
      </c>
      <c r="K47" s="473">
        <f t="shared" si="3"/>
        <v>1400</v>
      </c>
      <c r="M47" s="473">
        <v>1400</v>
      </c>
    </row>
    <row r="48" spans="1:15">
      <c r="A48" s="472">
        <v>1</v>
      </c>
      <c r="C48" s="472">
        <f t="shared" si="0"/>
        <v>39</v>
      </c>
      <c r="D48" s="472">
        <f t="shared" si="1"/>
        <v>34</v>
      </c>
      <c r="E48" s="472">
        <f t="shared" si="2"/>
        <v>12</v>
      </c>
      <c r="F48" s="472" t="str">
        <f t="shared" si="4"/>
        <v>crx</v>
      </c>
      <c r="G48" s="472" t="s">
        <v>144</v>
      </c>
      <c r="H48" s="472" t="s">
        <v>139</v>
      </c>
      <c r="I48" s="472" t="s">
        <v>143</v>
      </c>
      <c r="K48" s="473">
        <f t="shared" si="3"/>
        <v>1400</v>
      </c>
      <c r="M48" s="473">
        <v>1400</v>
      </c>
    </row>
    <row r="49" spans="1:15">
      <c r="A49" s="472">
        <v>6</v>
      </c>
      <c r="C49" s="472">
        <f t="shared" si="0"/>
        <v>40</v>
      </c>
      <c r="D49" s="472">
        <f t="shared" si="1"/>
        <v>40</v>
      </c>
      <c r="E49" s="472">
        <f t="shared" si="2"/>
        <v>12</v>
      </c>
      <c r="F49" s="472" t="str">
        <f t="shared" si="4"/>
        <v>pm</v>
      </c>
      <c r="G49" s="472" t="s">
        <v>420</v>
      </c>
      <c r="H49" s="472" t="s">
        <v>421</v>
      </c>
      <c r="I49" s="472" t="s">
        <v>422</v>
      </c>
      <c r="K49" s="473">
        <f t="shared" si="3"/>
        <v>1370.2953467160532</v>
      </c>
      <c r="M49" s="473">
        <v>1366.6666666666667</v>
      </c>
      <c r="O49" s="472">
        <v>1370.2953467160532</v>
      </c>
    </row>
    <row r="50" spans="1:15">
      <c r="A50" s="472">
        <v>3</v>
      </c>
      <c r="C50" s="472">
        <f t="shared" si="0"/>
        <v>41</v>
      </c>
      <c r="D50" s="472">
        <f t="shared" si="1"/>
        <v>41</v>
      </c>
      <c r="E50" s="472">
        <f t="shared" si="2"/>
        <v>12</v>
      </c>
      <c r="F50" s="472" t="str">
        <f t="shared" si="4"/>
        <v>pm</v>
      </c>
      <c r="G50" s="472" t="s">
        <v>122</v>
      </c>
      <c r="H50" s="472" t="s">
        <v>123</v>
      </c>
      <c r="I50" s="472" t="s">
        <v>121</v>
      </c>
      <c r="K50" s="473">
        <f t="shared" si="3"/>
        <v>1200</v>
      </c>
      <c r="M50" s="473">
        <v>1200</v>
      </c>
    </row>
    <row r="51" spans="1:15">
      <c r="A51" s="472">
        <v>3</v>
      </c>
      <c r="C51" s="472">
        <f t="shared" si="0"/>
        <v>42</v>
      </c>
      <c r="D51" s="472">
        <f t="shared" si="1"/>
        <v>41</v>
      </c>
      <c r="E51" s="472">
        <f t="shared" si="2"/>
        <v>12</v>
      </c>
      <c r="F51" s="472" t="str">
        <f t="shared" si="4"/>
        <v>pm</v>
      </c>
      <c r="G51" s="472" t="s">
        <v>423</v>
      </c>
      <c r="H51" s="472" t="s">
        <v>331</v>
      </c>
      <c r="I51" s="472" t="s">
        <v>424</v>
      </c>
      <c r="K51" s="473">
        <f t="shared" si="3"/>
        <v>1200</v>
      </c>
      <c r="M51" s="473">
        <v>1200</v>
      </c>
    </row>
    <row r="52" spans="1:15">
      <c r="A52" s="472">
        <v>3</v>
      </c>
      <c r="C52" s="472">
        <f t="shared" si="0"/>
        <v>43</v>
      </c>
      <c r="D52" s="472">
        <f t="shared" si="1"/>
        <v>41</v>
      </c>
      <c r="E52" s="472">
        <f t="shared" si="2"/>
        <v>12</v>
      </c>
      <c r="F52" s="472" t="str">
        <f t="shared" si="4"/>
        <v>pm</v>
      </c>
      <c r="G52" s="472" t="s">
        <v>425</v>
      </c>
      <c r="H52" s="472" t="s">
        <v>331</v>
      </c>
      <c r="I52" s="472" t="s">
        <v>426</v>
      </c>
      <c r="K52" s="473">
        <f t="shared" si="3"/>
        <v>1200</v>
      </c>
      <c r="M52" s="473">
        <v>1200</v>
      </c>
    </row>
    <row r="53" spans="1:15">
      <c r="A53" s="472">
        <v>1</v>
      </c>
      <c r="C53" s="472">
        <f t="shared" si="0"/>
        <v>44</v>
      </c>
      <c r="D53" s="472">
        <f t="shared" si="1"/>
        <v>41</v>
      </c>
      <c r="E53" s="472">
        <f t="shared" si="2"/>
        <v>12</v>
      </c>
      <c r="F53" s="472" t="str">
        <f t="shared" si="4"/>
        <v>pmx</v>
      </c>
      <c r="G53" s="472" t="s">
        <v>300</v>
      </c>
      <c r="H53" s="472" t="s">
        <v>301</v>
      </c>
      <c r="I53" s="472" t="s">
        <v>299</v>
      </c>
      <c r="K53" s="473">
        <f t="shared" si="3"/>
        <v>1200</v>
      </c>
      <c r="M53" s="473">
        <v>1200</v>
      </c>
    </row>
    <row r="54" spans="1:15">
      <c r="A54" s="472">
        <v>1</v>
      </c>
      <c r="C54" s="472">
        <f t="shared" si="0"/>
        <v>45</v>
      </c>
      <c r="D54" s="472">
        <f t="shared" si="1"/>
        <v>41</v>
      </c>
      <c r="E54" s="472">
        <f t="shared" si="2"/>
        <v>12</v>
      </c>
      <c r="F54" s="472" t="str">
        <f t="shared" si="4"/>
        <v>pmx</v>
      </c>
      <c r="G54" s="472" t="s">
        <v>305</v>
      </c>
      <c r="H54" s="472" t="s">
        <v>301</v>
      </c>
      <c r="I54" s="472" t="s">
        <v>304</v>
      </c>
      <c r="K54" s="473">
        <f t="shared" si="3"/>
        <v>1200</v>
      </c>
      <c r="M54" s="473">
        <v>1200</v>
      </c>
    </row>
    <row r="55" spans="1:15">
      <c r="A55" s="472">
        <v>3</v>
      </c>
      <c r="C55" s="472">
        <f t="shared" si="0"/>
        <v>46</v>
      </c>
      <c r="D55" s="472">
        <f t="shared" si="1"/>
        <v>41</v>
      </c>
      <c r="E55" s="472">
        <f t="shared" si="2"/>
        <v>12</v>
      </c>
      <c r="F55" s="472" t="str">
        <f t="shared" si="4"/>
        <v>pm</v>
      </c>
      <c r="G55" s="472" t="s">
        <v>96</v>
      </c>
      <c r="H55" s="472" t="s">
        <v>92</v>
      </c>
      <c r="I55" s="472" t="s">
        <v>146</v>
      </c>
      <c r="K55" s="473">
        <f t="shared" si="3"/>
        <v>1200</v>
      </c>
      <c r="M55" s="473">
        <v>1200</v>
      </c>
    </row>
    <row r="56" spans="1:15">
      <c r="A56" s="472">
        <v>2</v>
      </c>
      <c r="C56" s="472">
        <f t="shared" si="0"/>
        <v>47</v>
      </c>
      <c r="D56" s="472">
        <f t="shared" si="1"/>
        <v>41</v>
      </c>
      <c r="E56" s="472">
        <f t="shared" si="2"/>
        <v>12</v>
      </c>
      <c r="F56" s="472" t="str">
        <f t="shared" si="4"/>
        <v>pm</v>
      </c>
      <c r="G56" s="472" t="s">
        <v>149</v>
      </c>
      <c r="H56" s="472" t="s">
        <v>92</v>
      </c>
      <c r="I56" s="472" t="s">
        <v>148</v>
      </c>
      <c r="K56" s="473">
        <f t="shared" si="3"/>
        <v>1200</v>
      </c>
      <c r="M56" s="473">
        <v>1200</v>
      </c>
    </row>
    <row r="57" spans="1:15">
      <c r="A57" s="472">
        <v>2</v>
      </c>
      <c r="C57" s="472">
        <f t="shared" si="0"/>
        <v>48</v>
      </c>
      <c r="D57" s="472">
        <f t="shared" si="1"/>
        <v>41</v>
      </c>
      <c r="E57" s="472">
        <f t="shared" si="2"/>
        <v>12</v>
      </c>
      <c r="F57" s="472" t="str">
        <f t="shared" si="4"/>
        <v>pm</v>
      </c>
      <c r="G57" s="472" t="s">
        <v>427</v>
      </c>
      <c r="H57" s="472" t="s">
        <v>397</v>
      </c>
      <c r="I57" s="472" t="s">
        <v>428</v>
      </c>
      <c r="K57" s="473">
        <f t="shared" si="3"/>
        <v>1200</v>
      </c>
      <c r="M57" s="473">
        <v>1200</v>
      </c>
    </row>
    <row r="58" spans="1:15">
      <c r="A58" s="472">
        <v>1</v>
      </c>
      <c r="C58" s="472">
        <f t="shared" si="0"/>
        <v>49</v>
      </c>
      <c r="D58" s="472">
        <f t="shared" si="1"/>
        <v>41</v>
      </c>
      <c r="E58" s="472">
        <f t="shared" si="2"/>
        <v>12</v>
      </c>
      <c r="F58" s="472" t="str">
        <f t="shared" si="4"/>
        <v>sox</v>
      </c>
      <c r="G58" s="472" t="s">
        <v>429</v>
      </c>
      <c r="H58" s="472" t="s">
        <v>430</v>
      </c>
      <c r="I58" s="472" t="s">
        <v>431</v>
      </c>
      <c r="K58" s="473">
        <f t="shared" si="3"/>
        <v>1200</v>
      </c>
      <c r="M58" s="473">
        <v>1200</v>
      </c>
    </row>
    <row r="59" spans="1:15">
      <c r="A59" s="472">
        <v>4</v>
      </c>
      <c r="C59" s="472">
        <f t="shared" si="0"/>
        <v>50</v>
      </c>
      <c r="D59" s="472">
        <f t="shared" si="1"/>
        <v>41</v>
      </c>
      <c r="E59" s="472">
        <f t="shared" si="2"/>
        <v>12</v>
      </c>
      <c r="F59" s="472" t="str">
        <f t="shared" si="4"/>
        <v>pm</v>
      </c>
      <c r="G59" s="472" t="s">
        <v>133</v>
      </c>
      <c r="H59" s="472" t="s">
        <v>86</v>
      </c>
      <c r="I59" s="472" t="s">
        <v>90</v>
      </c>
      <c r="K59" s="473">
        <f t="shared" si="3"/>
        <v>1200</v>
      </c>
      <c r="M59" s="473">
        <v>1200</v>
      </c>
    </row>
    <row r="60" spans="1:15">
      <c r="A60" s="472">
        <v>4</v>
      </c>
      <c r="C60" s="472">
        <f t="shared" si="0"/>
        <v>51</v>
      </c>
      <c r="D60" s="472">
        <f t="shared" si="1"/>
        <v>41</v>
      </c>
      <c r="E60" s="472">
        <f t="shared" si="2"/>
        <v>12</v>
      </c>
      <c r="F60" s="472" t="str">
        <f t="shared" si="4"/>
        <v>pm</v>
      </c>
      <c r="G60" s="472" t="s">
        <v>135</v>
      </c>
      <c r="H60" s="472" t="s">
        <v>86</v>
      </c>
      <c r="I60" s="472" t="s">
        <v>134</v>
      </c>
      <c r="K60" s="473">
        <f t="shared" si="3"/>
        <v>1200</v>
      </c>
      <c r="M60" s="473">
        <v>1200</v>
      </c>
    </row>
    <row r="61" spans="1:15">
      <c r="A61" s="472">
        <v>1</v>
      </c>
      <c r="C61" s="472">
        <f t="shared" si="0"/>
        <v>52</v>
      </c>
      <c r="D61" s="472">
        <f t="shared" si="1"/>
        <v>41</v>
      </c>
      <c r="E61" s="472">
        <f t="shared" si="2"/>
        <v>12</v>
      </c>
      <c r="F61" s="472" t="str">
        <f t="shared" si="4"/>
        <v>pmx</v>
      </c>
      <c r="G61" s="472" t="s">
        <v>128</v>
      </c>
      <c r="H61" s="472" t="s">
        <v>86</v>
      </c>
      <c r="I61" s="472" t="s">
        <v>127</v>
      </c>
      <c r="K61" s="473">
        <f t="shared" si="3"/>
        <v>1200</v>
      </c>
      <c r="M61" s="473">
        <v>1200</v>
      </c>
    </row>
    <row r="62" spans="1:15">
      <c r="A62" s="472">
        <v>4</v>
      </c>
      <c r="C62" s="472">
        <f t="shared" si="0"/>
        <v>53</v>
      </c>
      <c r="D62" s="472">
        <f t="shared" si="1"/>
        <v>41</v>
      </c>
      <c r="E62" s="472">
        <f t="shared" si="2"/>
        <v>12</v>
      </c>
      <c r="F62" s="472" t="str">
        <f t="shared" si="4"/>
        <v>pm</v>
      </c>
      <c r="G62" s="472" t="s">
        <v>116</v>
      </c>
      <c r="H62" s="472" t="s">
        <v>117</v>
      </c>
      <c r="I62" s="472" t="s">
        <v>115</v>
      </c>
      <c r="K62" s="473">
        <f t="shared" si="3"/>
        <v>1200</v>
      </c>
      <c r="M62" s="473">
        <v>1200</v>
      </c>
    </row>
    <row r="63" spans="1:15">
      <c r="A63" s="472">
        <v>2</v>
      </c>
      <c r="C63" s="472">
        <f t="shared" si="0"/>
        <v>1</v>
      </c>
      <c r="D63" s="472">
        <f t="shared" si="1"/>
        <v>1</v>
      </c>
      <c r="E63" s="472">
        <f t="shared" si="2"/>
        <v>13</v>
      </c>
      <c r="F63" s="472" t="str">
        <f t="shared" si="4"/>
        <v>cr</v>
      </c>
      <c r="G63" s="472" t="s">
        <v>432</v>
      </c>
      <c r="H63" s="472" t="s">
        <v>433</v>
      </c>
      <c r="I63" s="472" t="s">
        <v>434</v>
      </c>
      <c r="K63" s="473">
        <f t="shared" si="3"/>
        <v>2100</v>
      </c>
      <c r="M63" s="473">
        <v>2100</v>
      </c>
    </row>
    <row r="64" spans="1:15">
      <c r="A64" s="472">
        <v>1</v>
      </c>
      <c r="C64" s="472">
        <f t="shared" si="0"/>
        <v>2</v>
      </c>
      <c r="D64" s="472">
        <f t="shared" si="1"/>
        <v>2</v>
      </c>
      <c r="E64" s="472">
        <f t="shared" si="2"/>
        <v>13</v>
      </c>
      <c r="F64" s="472" t="str">
        <f t="shared" si="4"/>
        <v>sox</v>
      </c>
      <c r="G64" s="472" t="s">
        <v>435</v>
      </c>
      <c r="H64" s="472" t="s">
        <v>351</v>
      </c>
      <c r="I64" s="472" t="s">
        <v>436</v>
      </c>
      <c r="K64" s="473">
        <f t="shared" si="3"/>
        <v>2000</v>
      </c>
      <c r="M64" s="473">
        <v>2000</v>
      </c>
    </row>
    <row r="65" spans="1:14">
      <c r="A65" s="472">
        <v>2</v>
      </c>
      <c r="C65" s="472">
        <f t="shared" si="0"/>
        <v>3</v>
      </c>
      <c r="D65" s="472">
        <f t="shared" si="1"/>
        <v>3</v>
      </c>
      <c r="E65" s="472">
        <f t="shared" si="2"/>
        <v>13</v>
      </c>
      <c r="F65" s="472" t="str">
        <f t="shared" si="4"/>
        <v>pm</v>
      </c>
      <c r="G65" s="472" t="s">
        <v>437</v>
      </c>
      <c r="H65" s="472" t="s">
        <v>370</v>
      </c>
      <c r="I65" s="472" t="s">
        <v>438</v>
      </c>
      <c r="K65" s="473">
        <f t="shared" si="3"/>
        <v>1957.4424167884204</v>
      </c>
      <c r="M65" s="473">
        <v>2000</v>
      </c>
      <c r="N65" s="472">
        <v>1957.4424167884204</v>
      </c>
    </row>
    <row r="66" spans="1:14">
      <c r="A66" s="472">
        <v>1</v>
      </c>
      <c r="C66" s="472">
        <f t="shared" ref="C66:C129" si="5">IF(E66=E65,C65+1,1)</f>
        <v>4</v>
      </c>
      <c r="D66" s="472">
        <f t="shared" ref="D66:D129" si="6">IF(K66=K65,D65,C66)</f>
        <v>4</v>
      </c>
      <c r="E66" s="472">
        <f t="shared" ref="E66:E129" si="7">10+VALUE(RIGHT(LEFT(G66,3),1))</f>
        <v>13</v>
      </c>
      <c r="F66" s="472" t="str">
        <f t="shared" si="4"/>
        <v>crx</v>
      </c>
      <c r="G66" s="472" t="s">
        <v>439</v>
      </c>
      <c r="H66" s="472" t="s">
        <v>440</v>
      </c>
      <c r="I66" s="472" t="s">
        <v>441</v>
      </c>
      <c r="K66" s="473">
        <f t="shared" ref="K66:K129" si="8">LOOKUP(1E+100,M66:AC66)</f>
        <v>2019.1725953669204</v>
      </c>
      <c r="M66" s="473">
        <v>2000</v>
      </c>
      <c r="N66" s="472">
        <v>2019.1725953669204</v>
      </c>
    </row>
    <row r="67" spans="1:14">
      <c r="A67" s="472">
        <v>4</v>
      </c>
      <c r="C67" s="472">
        <f t="shared" si="5"/>
        <v>5</v>
      </c>
      <c r="D67" s="472">
        <f t="shared" si="6"/>
        <v>5</v>
      </c>
      <c r="E67" s="472">
        <f t="shared" si="7"/>
        <v>13</v>
      </c>
      <c r="F67" s="472" t="str">
        <f t="shared" ref="F67:F130" si="9">RIGHT(G67,2) &amp; IF(A67&lt;2,"x","")</f>
        <v>pm</v>
      </c>
      <c r="G67" s="472" t="s">
        <v>442</v>
      </c>
      <c r="H67" s="472" t="s">
        <v>331</v>
      </c>
      <c r="I67" s="472" t="s">
        <v>443</v>
      </c>
      <c r="K67" s="473">
        <f t="shared" si="8"/>
        <v>2136.3174765642048</v>
      </c>
      <c r="M67" s="473">
        <v>2000</v>
      </c>
      <c r="N67" s="472">
        <v>2136.3174765642048</v>
      </c>
    </row>
    <row r="68" spans="1:14">
      <c r="A68" s="472">
        <v>6</v>
      </c>
      <c r="C68" s="472">
        <f t="shared" si="5"/>
        <v>6</v>
      </c>
      <c r="D68" s="472">
        <f t="shared" si="6"/>
        <v>6</v>
      </c>
      <c r="E68" s="472">
        <f t="shared" si="7"/>
        <v>13</v>
      </c>
      <c r="F68" s="472" t="str">
        <f t="shared" si="9"/>
        <v>pm</v>
      </c>
      <c r="G68" s="472" t="s">
        <v>444</v>
      </c>
      <c r="H68" s="472" t="s">
        <v>386</v>
      </c>
      <c r="I68" s="472" t="s">
        <v>445</v>
      </c>
      <c r="K68" s="473">
        <f t="shared" si="8"/>
        <v>2121.6308368759796</v>
      </c>
      <c r="M68" s="473">
        <v>2000</v>
      </c>
      <c r="N68" s="472">
        <v>2121.6308368759796</v>
      </c>
    </row>
    <row r="69" spans="1:14">
      <c r="A69" s="472">
        <v>3</v>
      </c>
      <c r="C69" s="472">
        <f t="shared" si="5"/>
        <v>7</v>
      </c>
      <c r="D69" s="472">
        <f t="shared" si="6"/>
        <v>7</v>
      </c>
      <c r="E69" s="472">
        <f t="shared" si="7"/>
        <v>13</v>
      </c>
      <c r="F69" s="472" t="str">
        <f t="shared" si="9"/>
        <v>pm</v>
      </c>
      <c r="G69" s="472" t="s">
        <v>446</v>
      </c>
      <c r="H69" s="472" t="s">
        <v>391</v>
      </c>
      <c r="I69" s="472" t="s">
        <v>447</v>
      </c>
      <c r="K69" s="473">
        <f t="shared" si="8"/>
        <v>2000</v>
      </c>
      <c r="M69" s="473">
        <v>2000</v>
      </c>
    </row>
    <row r="70" spans="1:14">
      <c r="A70" s="472">
        <v>1</v>
      </c>
      <c r="C70" s="472">
        <f t="shared" si="5"/>
        <v>8</v>
      </c>
      <c r="D70" s="472">
        <f t="shared" si="6"/>
        <v>7</v>
      </c>
      <c r="E70" s="472">
        <f t="shared" si="7"/>
        <v>13</v>
      </c>
      <c r="F70" s="472" t="str">
        <f t="shared" si="9"/>
        <v>pmx</v>
      </c>
      <c r="G70" s="472" t="s">
        <v>448</v>
      </c>
      <c r="H70" s="472" t="s">
        <v>449</v>
      </c>
      <c r="I70" s="472" t="s">
        <v>450</v>
      </c>
      <c r="K70" s="473">
        <f t="shared" si="8"/>
        <v>2000</v>
      </c>
      <c r="M70" s="473">
        <v>2000</v>
      </c>
    </row>
    <row r="71" spans="1:14">
      <c r="A71" s="472">
        <v>3</v>
      </c>
      <c r="C71" s="472">
        <f t="shared" si="5"/>
        <v>9</v>
      </c>
      <c r="D71" s="472">
        <f t="shared" si="6"/>
        <v>9</v>
      </c>
      <c r="E71" s="472">
        <f t="shared" si="7"/>
        <v>13</v>
      </c>
      <c r="F71" s="472" t="str">
        <f t="shared" si="9"/>
        <v>pm</v>
      </c>
      <c r="G71" s="472" t="s">
        <v>451</v>
      </c>
      <c r="H71" s="472" t="s">
        <v>452</v>
      </c>
      <c r="I71" s="472" t="s">
        <v>453</v>
      </c>
      <c r="K71" s="473">
        <f t="shared" si="8"/>
        <v>2068.8673410456058</v>
      </c>
      <c r="M71" s="473">
        <v>2000</v>
      </c>
      <c r="N71" s="472">
        <v>2068.8673410456058</v>
      </c>
    </row>
    <row r="72" spans="1:14">
      <c r="A72" s="472">
        <v>2</v>
      </c>
      <c r="C72" s="472">
        <f t="shared" si="5"/>
        <v>10</v>
      </c>
      <c r="D72" s="472">
        <f t="shared" si="6"/>
        <v>10</v>
      </c>
      <c r="E72" s="472">
        <f t="shared" si="7"/>
        <v>13</v>
      </c>
      <c r="F72" s="472" t="str">
        <f t="shared" si="9"/>
        <v>pm</v>
      </c>
      <c r="G72" s="472" t="s">
        <v>454</v>
      </c>
      <c r="H72" s="472" t="s">
        <v>154</v>
      </c>
      <c r="I72" s="472" t="s">
        <v>455</v>
      </c>
      <c r="K72" s="473">
        <f t="shared" si="8"/>
        <v>2000</v>
      </c>
      <c r="M72" s="473">
        <v>2000</v>
      </c>
    </row>
    <row r="73" spans="1:14">
      <c r="A73" s="472">
        <v>2</v>
      </c>
      <c r="C73" s="472">
        <f t="shared" si="5"/>
        <v>11</v>
      </c>
      <c r="D73" s="472">
        <f t="shared" si="6"/>
        <v>10</v>
      </c>
      <c r="E73" s="472">
        <f t="shared" si="7"/>
        <v>13</v>
      </c>
      <c r="F73" s="472" t="str">
        <f t="shared" si="9"/>
        <v>pm</v>
      </c>
      <c r="G73" s="472" t="s">
        <v>456</v>
      </c>
      <c r="H73" s="472" t="s">
        <v>154</v>
      </c>
      <c r="I73" s="472" t="s">
        <v>457</v>
      </c>
      <c r="K73" s="473">
        <f t="shared" si="8"/>
        <v>2000</v>
      </c>
      <c r="M73" s="473">
        <v>2000</v>
      </c>
    </row>
    <row r="74" spans="1:14">
      <c r="A74" s="472">
        <v>2</v>
      </c>
      <c r="C74" s="472">
        <f t="shared" si="5"/>
        <v>12</v>
      </c>
      <c r="D74" s="472">
        <f t="shared" si="6"/>
        <v>10</v>
      </c>
      <c r="E74" s="472">
        <f t="shared" si="7"/>
        <v>13</v>
      </c>
      <c r="F74" s="472" t="str">
        <f t="shared" si="9"/>
        <v>pm</v>
      </c>
      <c r="G74" s="472" t="s">
        <v>458</v>
      </c>
      <c r="H74" s="472" t="s">
        <v>154</v>
      </c>
      <c r="I74" s="472" t="s">
        <v>459</v>
      </c>
      <c r="K74" s="473">
        <f t="shared" si="8"/>
        <v>2000</v>
      </c>
      <c r="M74" s="473">
        <v>2000</v>
      </c>
    </row>
    <row r="75" spans="1:14">
      <c r="A75" s="472">
        <v>3</v>
      </c>
      <c r="C75" s="472">
        <f t="shared" si="5"/>
        <v>13</v>
      </c>
      <c r="D75" s="472">
        <f t="shared" si="6"/>
        <v>10</v>
      </c>
      <c r="E75" s="472">
        <f t="shared" si="7"/>
        <v>13</v>
      </c>
      <c r="F75" s="472" t="str">
        <f t="shared" si="9"/>
        <v>pm</v>
      </c>
      <c r="G75" s="472" t="s">
        <v>460</v>
      </c>
      <c r="H75" s="472" t="s">
        <v>408</v>
      </c>
      <c r="I75" s="472" t="s">
        <v>461</v>
      </c>
      <c r="K75" s="473">
        <f t="shared" si="8"/>
        <v>2000</v>
      </c>
      <c r="M75" s="473">
        <v>2000</v>
      </c>
    </row>
    <row r="76" spans="1:14">
      <c r="A76" s="472">
        <v>3</v>
      </c>
      <c r="C76" s="472">
        <f t="shared" si="5"/>
        <v>14</v>
      </c>
      <c r="D76" s="472">
        <f t="shared" si="6"/>
        <v>10</v>
      </c>
      <c r="E76" s="472">
        <f t="shared" si="7"/>
        <v>13</v>
      </c>
      <c r="F76" s="472" t="str">
        <f t="shared" si="9"/>
        <v>pm</v>
      </c>
      <c r="G76" s="472" t="s">
        <v>462</v>
      </c>
      <c r="H76" s="472" t="s">
        <v>408</v>
      </c>
      <c r="I76" s="472" t="s">
        <v>463</v>
      </c>
      <c r="K76" s="473">
        <f t="shared" si="8"/>
        <v>2000</v>
      </c>
      <c r="M76" s="473">
        <v>2000</v>
      </c>
    </row>
    <row r="77" spans="1:14">
      <c r="A77" s="472">
        <v>1</v>
      </c>
      <c r="C77" s="472">
        <f t="shared" si="5"/>
        <v>15</v>
      </c>
      <c r="D77" s="472">
        <f t="shared" si="6"/>
        <v>10</v>
      </c>
      <c r="E77" s="472">
        <f t="shared" si="7"/>
        <v>13</v>
      </c>
      <c r="F77" s="472" t="str">
        <f t="shared" si="9"/>
        <v>odx</v>
      </c>
      <c r="G77" s="472" t="s">
        <v>464</v>
      </c>
      <c r="H77" s="472" t="s">
        <v>465</v>
      </c>
      <c r="I77" s="472" t="s">
        <v>466</v>
      </c>
      <c r="K77" s="473">
        <f t="shared" si="8"/>
        <v>2000</v>
      </c>
      <c r="M77" s="473">
        <v>2000</v>
      </c>
    </row>
    <row r="78" spans="1:14">
      <c r="A78" s="472">
        <v>2</v>
      </c>
      <c r="C78" s="472">
        <f t="shared" si="5"/>
        <v>16</v>
      </c>
      <c r="D78" s="472">
        <f t="shared" si="6"/>
        <v>10</v>
      </c>
      <c r="E78" s="472">
        <f t="shared" si="7"/>
        <v>13</v>
      </c>
      <c r="F78" s="472" t="str">
        <f t="shared" si="9"/>
        <v>pm</v>
      </c>
      <c r="G78" s="472" t="s">
        <v>467</v>
      </c>
      <c r="H78" s="472" t="s">
        <v>86</v>
      </c>
      <c r="I78" s="472" t="s">
        <v>468</v>
      </c>
      <c r="K78" s="473">
        <f t="shared" si="8"/>
        <v>2000</v>
      </c>
      <c r="M78" s="473">
        <v>2000</v>
      </c>
    </row>
    <row r="79" spans="1:14">
      <c r="A79" s="472">
        <v>1</v>
      </c>
      <c r="C79" s="472">
        <f t="shared" si="5"/>
        <v>17</v>
      </c>
      <c r="D79" s="472">
        <f t="shared" si="6"/>
        <v>10</v>
      </c>
      <c r="E79" s="472">
        <f t="shared" si="7"/>
        <v>13</v>
      </c>
      <c r="F79" s="472" t="str">
        <f t="shared" si="9"/>
        <v>crx</v>
      </c>
      <c r="G79" s="472" t="s">
        <v>469</v>
      </c>
      <c r="H79" s="472" t="s">
        <v>470</v>
      </c>
      <c r="I79" s="472" t="s">
        <v>471</v>
      </c>
      <c r="K79" s="473">
        <f t="shared" si="8"/>
        <v>2000</v>
      </c>
      <c r="M79" s="473">
        <v>2000</v>
      </c>
    </row>
    <row r="80" spans="1:14">
      <c r="A80" s="472">
        <v>1</v>
      </c>
      <c r="C80" s="472">
        <f t="shared" si="5"/>
        <v>18</v>
      </c>
      <c r="D80" s="472">
        <f t="shared" si="6"/>
        <v>10</v>
      </c>
      <c r="E80" s="472">
        <f t="shared" si="7"/>
        <v>13</v>
      </c>
      <c r="F80" s="472" t="str">
        <f t="shared" si="9"/>
        <v>crx</v>
      </c>
      <c r="G80" s="472" t="s">
        <v>472</v>
      </c>
      <c r="H80" s="472" t="s">
        <v>139</v>
      </c>
      <c r="I80" s="472" t="s">
        <v>473</v>
      </c>
      <c r="K80" s="473">
        <f t="shared" si="8"/>
        <v>2000</v>
      </c>
      <c r="M80" s="473">
        <v>2000</v>
      </c>
    </row>
    <row r="81" spans="1:15">
      <c r="A81" s="472">
        <v>1</v>
      </c>
      <c r="C81" s="472">
        <f t="shared" si="5"/>
        <v>19</v>
      </c>
      <c r="D81" s="472">
        <f t="shared" si="6"/>
        <v>10</v>
      </c>
      <c r="E81" s="472">
        <f t="shared" si="7"/>
        <v>13</v>
      </c>
      <c r="F81" s="472" t="str">
        <f t="shared" si="9"/>
        <v>pmx</v>
      </c>
      <c r="G81" s="472" t="s">
        <v>474</v>
      </c>
      <c r="H81" s="472" t="s">
        <v>346</v>
      </c>
      <c r="I81" s="472" t="s">
        <v>475</v>
      </c>
      <c r="K81" s="473">
        <f t="shared" si="8"/>
        <v>2000</v>
      </c>
      <c r="M81" s="473">
        <v>2000</v>
      </c>
    </row>
    <row r="82" spans="1:15">
      <c r="A82" s="472">
        <v>1</v>
      </c>
      <c r="C82" s="472">
        <f t="shared" si="5"/>
        <v>20</v>
      </c>
      <c r="D82" s="472">
        <f t="shared" si="6"/>
        <v>10</v>
      </c>
      <c r="E82" s="472">
        <f t="shared" si="7"/>
        <v>13</v>
      </c>
      <c r="F82" s="472" t="str">
        <f t="shared" si="9"/>
        <v>pmx</v>
      </c>
      <c r="G82" s="472" t="s">
        <v>476</v>
      </c>
      <c r="H82" s="472" t="s">
        <v>346</v>
      </c>
      <c r="I82" s="472" t="s">
        <v>477</v>
      </c>
      <c r="K82" s="473">
        <f t="shared" si="8"/>
        <v>2000</v>
      </c>
      <c r="M82" s="473">
        <v>2000</v>
      </c>
    </row>
    <row r="83" spans="1:15">
      <c r="A83" s="472">
        <v>1</v>
      </c>
      <c r="C83" s="472">
        <f t="shared" si="5"/>
        <v>21</v>
      </c>
      <c r="D83" s="472">
        <f t="shared" si="6"/>
        <v>10</v>
      </c>
      <c r="E83" s="472">
        <f t="shared" si="7"/>
        <v>13</v>
      </c>
      <c r="F83" s="472" t="str">
        <f t="shared" si="9"/>
        <v>pmx</v>
      </c>
      <c r="G83" s="472" t="s">
        <v>478</v>
      </c>
      <c r="H83" s="472" t="s">
        <v>346</v>
      </c>
      <c r="I83" s="472" t="s">
        <v>479</v>
      </c>
      <c r="K83" s="473">
        <f t="shared" si="8"/>
        <v>2000</v>
      </c>
      <c r="M83" s="473">
        <v>2000</v>
      </c>
    </row>
    <row r="84" spans="1:15">
      <c r="A84" s="472">
        <v>1</v>
      </c>
      <c r="C84" s="472">
        <f t="shared" si="5"/>
        <v>22</v>
      </c>
      <c r="D84" s="472">
        <f t="shared" si="6"/>
        <v>10</v>
      </c>
      <c r="E84" s="472">
        <f t="shared" si="7"/>
        <v>13</v>
      </c>
      <c r="F84" s="472" t="str">
        <f t="shared" si="9"/>
        <v>pmx</v>
      </c>
      <c r="G84" s="472" t="s">
        <v>480</v>
      </c>
      <c r="H84" s="472" t="s">
        <v>346</v>
      </c>
      <c r="I84" s="472" t="s">
        <v>481</v>
      </c>
      <c r="K84" s="473">
        <f t="shared" si="8"/>
        <v>2000</v>
      </c>
      <c r="M84" s="473">
        <v>2000</v>
      </c>
    </row>
    <row r="85" spans="1:15">
      <c r="A85" s="472">
        <v>3</v>
      </c>
      <c r="C85" s="472">
        <f t="shared" si="5"/>
        <v>23</v>
      </c>
      <c r="D85" s="472">
        <f t="shared" si="6"/>
        <v>10</v>
      </c>
      <c r="E85" s="472">
        <f t="shared" si="7"/>
        <v>13</v>
      </c>
      <c r="F85" s="472" t="str">
        <f t="shared" si="9"/>
        <v>pm</v>
      </c>
      <c r="G85" s="472" t="s">
        <v>482</v>
      </c>
      <c r="H85" s="472" t="s">
        <v>483</v>
      </c>
      <c r="I85" s="472" t="s">
        <v>484</v>
      </c>
      <c r="K85" s="473">
        <f t="shared" si="8"/>
        <v>2000</v>
      </c>
      <c r="M85" s="473">
        <v>2000</v>
      </c>
    </row>
    <row r="86" spans="1:15">
      <c r="A86" s="472">
        <v>4</v>
      </c>
      <c r="C86" s="472">
        <f t="shared" si="5"/>
        <v>24</v>
      </c>
      <c r="D86" s="472">
        <f t="shared" si="6"/>
        <v>24</v>
      </c>
      <c r="E86" s="472">
        <f t="shared" si="7"/>
        <v>13</v>
      </c>
      <c r="F86" s="472" t="str">
        <f t="shared" si="9"/>
        <v>pm</v>
      </c>
      <c r="G86" s="472" t="s">
        <v>485</v>
      </c>
      <c r="H86" s="472" t="s">
        <v>92</v>
      </c>
      <c r="I86" s="472" t="s">
        <v>486</v>
      </c>
      <c r="K86" s="473">
        <f t="shared" si="8"/>
        <v>1950</v>
      </c>
      <c r="M86" s="473">
        <v>1950</v>
      </c>
    </row>
    <row r="87" spans="1:15">
      <c r="A87" s="472">
        <v>5</v>
      </c>
      <c r="C87" s="472">
        <f t="shared" si="5"/>
        <v>25</v>
      </c>
      <c r="D87" s="472">
        <f t="shared" si="6"/>
        <v>25</v>
      </c>
      <c r="E87" s="472">
        <f t="shared" si="7"/>
        <v>13</v>
      </c>
      <c r="F87" s="472" t="str">
        <f t="shared" si="9"/>
        <v>pm</v>
      </c>
      <c r="G87" s="472" t="s">
        <v>487</v>
      </c>
      <c r="H87" s="472" t="s">
        <v>92</v>
      </c>
      <c r="I87" s="472" t="s">
        <v>488</v>
      </c>
      <c r="K87" s="473">
        <f t="shared" si="8"/>
        <v>1920</v>
      </c>
      <c r="M87" s="473">
        <v>1920</v>
      </c>
    </row>
    <row r="88" spans="1:15">
      <c r="A88" s="472">
        <v>3</v>
      </c>
      <c r="C88" s="472">
        <f t="shared" si="5"/>
        <v>26</v>
      </c>
      <c r="D88" s="472">
        <f t="shared" si="6"/>
        <v>26</v>
      </c>
      <c r="E88" s="472">
        <f t="shared" si="7"/>
        <v>13</v>
      </c>
      <c r="F88" s="472" t="str">
        <f t="shared" si="9"/>
        <v>pm</v>
      </c>
      <c r="G88" s="472" t="s">
        <v>489</v>
      </c>
      <c r="H88" s="472" t="s">
        <v>490</v>
      </c>
      <c r="I88" s="472" t="s">
        <v>490</v>
      </c>
      <c r="K88" s="473">
        <f t="shared" si="8"/>
        <v>1832.6750811792997</v>
      </c>
      <c r="M88" s="473">
        <v>1800</v>
      </c>
      <c r="O88" s="472">
        <v>1832.6750811792997</v>
      </c>
    </row>
    <row r="89" spans="1:15">
      <c r="A89" s="472">
        <v>1</v>
      </c>
      <c r="C89" s="472">
        <f t="shared" si="5"/>
        <v>27</v>
      </c>
      <c r="D89" s="472">
        <f t="shared" si="6"/>
        <v>27</v>
      </c>
      <c r="E89" s="472">
        <f t="shared" si="7"/>
        <v>13</v>
      </c>
      <c r="F89" s="472" t="str">
        <f t="shared" si="9"/>
        <v>crx</v>
      </c>
      <c r="G89" s="472" t="s">
        <v>491</v>
      </c>
      <c r="H89" s="472" t="s">
        <v>492</v>
      </c>
      <c r="I89" s="472" t="s">
        <v>493</v>
      </c>
      <c r="K89" s="473">
        <f t="shared" si="8"/>
        <v>1859.9784106854174</v>
      </c>
      <c r="M89" s="473">
        <v>1800</v>
      </c>
      <c r="O89" s="472">
        <v>1859.9784106854174</v>
      </c>
    </row>
    <row r="90" spans="1:15">
      <c r="A90" s="472">
        <v>5</v>
      </c>
      <c r="C90" s="472">
        <f t="shared" si="5"/>
        <v>28</v>
      </c>
      <c r="D90" s="472">
        <f t="shared" si="6"/>
        <v>28</v>
      </c>
      <c r="E90" s="472">
        <f t="shared" si="7"/>
        <v>13</v>
      </c>
      <c r="F90" s="472" t="str">
        <f t="shared" si="9"/>
        <v>pm</v>
      </c>
      <c r="G90" s="472" t="s">
        <v>494</v>
      </c>
      <c r="H90" s="472" t="s">
        <v>337</v>
      </c>
      <c r="I90" s="472" t="s">
        <v>495</v>
      </c>
      <c r="K90" s="473">
        <f t="shared" si="8"/>
        <v>1754.0671620760272</v>
      </c>
      <c r="M90" s="473">
        <v>1760</v>
      </c>
      <c r="O90" s="472">
        <v>1754.0671620760272</v>
      </c>
    </row>
    <row r="91" spans="1:15">
      <c r="A91" s="472">
        <v>3</v>
      </c>
      <c r="C91" s="472">
        <f t="shared" si="5"/>
        <v>29</v>
      </c>
      <c r="D91" s="472">
        <f t="shared" si="6"/>
        <v>29</v>
      </c>
      <c r="E91" s="472">
        <f t="shared" si="7"/>
        <v>13</v>
      </c>
      <c r="F91" s="472" t="str">
        <f t="shared" si="9"/>
        <v>pm</v>
      </c>
      <c r="G91" s="472" t="s">
        <v>496</v>
      </c>
      <c r="H91" s="472" t="s">
        <v>370</v>
      </c>
      <c r="I91" s="472" t="s">
        <v>497</v>
      </c>
      <c r="K91" s="473">
        <f t="shared" si="8"/>
        <v>1800.3799320591111</v>
      </c>
      <c r="M91" s="473">
        <v>1733.3333333333333</v>
      </c>
      <c r="O91" s="472">
        <v>1800.3799320591111</v>
      </c>
    </row>
    <row r="92" spans="1:15">
      <c r="A92" s="472">
        <v>3</v>
      </c>
      <c r="C92" s="472">
        <f t="shared" si="5"/>
        <v>30</v>
      </c>
      <c r="D92" s="472">
        <f t="shared" si="6"/>
        <v>30</v>
      </c>
      <c r="E92" s="472">
        <f t="shared" si="7"/>
        <v>13</v>
      </c>
      <c r="F92" s="472" t="str">
        <f t="shared" si="9"/>
        <v>pm</v>
      </c>
      <c r="G92" s="472" t="s">
        <v>498</v>
      </c>
      <c r="H92" s="472" t="s">
        <v>154</v>
      </c>
      <c r="I92" s="472" t="s">
        <v>499</v>
      </c>
      <c r="K92" s="473">
        <f t="shared" si="8"/>
        <v>1733.3333333333333</v>
      </c>
      <c r="M92" s="473">
        <v>1733.3333333333333</v>
      </c>
    </row>
    <row r="93" spans="1:15">
      <c r="A93" s="472">
        <v>5</v>
      </c>
      <c r="C93" s="472">
        <f t="shared" si="5"/>
        <v>31</v>
      </c>
      <c r="D93" s="472">
        <f t="shared" si="6"/>
        <v>31</v>
      </c>
      <c r="E93" s="472">
        <f t="shared" si="7"/>
        <v>13</v>
      </c>
      <c r="F93" s="472" t="str">
        <f t="shared" si="9"/>
        <v>pm</v>
      </c>
      <c r="G93" s="472" t="s">
        <v>500</v>
      </c>
      <c r="H93" s="472" t="s">
        <v>501</v>
      </c>
      <c r="I93" s="472" t="s">
        <v>502</v>
      </c>
      <c r="K93" s="473">
        <f t="shared" si="8"/>
        <v>1727.4141373732955</v>
      </c>
      <c r="M93" s="473">
        <v>1680</v>
      </c>
      <c r="O93" s="472">
        <v>1727.4141373732955</v>
      </c>
    </row>
    <row r="94" spans="1:15">
      <c r="A94" s="472">
        <v>5</v>
      </c>
      <c r="C94" s="472">
        <f t="shared" si="5"/>
        <v>32</v>
      </c>
      <c r="D94" s="472">
        <f t="shared" si="6"/>
        <v>32</v>
      </c>
      <c r="E94" s="472">
        <f t="shared" si="7"/>
        <v>13</v>
      </c>
      <c r="F94" s="472" t="str">
        <f t="shared" si="9"/>
        <v>pm</v>
      </c>
      <c r="G94" s="472" t="s">
        <v>503</v>
      </c>
      <c r="H94" s="472" t="s">
        <v>501</v>
      </c>
      <c r="I94" s="472" t="s">
        <v>504</v>
      </c>
      <c r="K94" s="473">
        <f t="shared" si="8"/>
        <v>1638.9266878949168</v>
      </c>
      <c r="M94" s="473">
        <v>1680</v>
      </c>
      <c r="O94" s="472">
        <v>1638.9266878949168</v>
      </c>
    </row>
    <row r="95" spans="1:15">
      <c r="A95" s="472">
        <v>2</v>
      </c>
      <c r="C95" s="472">
        <f t="shared" si="5"/>
        <v>33</v>
      </c>
      <c r="D95" s="472">
        <f t="shared" si="6"/>
        <v>33</v>
      </c>
      <c r="E95" s="472">
        <f t="shared" si="7"/>
        <v>13</v>
      </c>
      <c r="F95" s="472" t="str">
        <f t="shared" si="9"/>
        <v>cr</v>
      </c>
      <c r="G95" s="472" t="s">
        <v>505</v>
      </c>
      <c r="H95" s="472" t="s">
        <v>340</v>
      </c>
      <c r="I95" s="472" t="s">
        <v>506</v>
      </c>
      <c r="K95" s="473">
        <f t="shared" si="8"/>
        <v>1600</v>
      </c>
      <c r="M95" s="473">
        <v>1600</v>
      </c>
    </row>
    <row r="96" spans="1:15">
      <c r="A96" s="472">
        <v>3</v>
      </c>
      <c r="C96" s="472">
        <f t="shared" si="5"/>
        <v>34</v>
      </c>
      <c r="D96" s="472">
        <f t="shared" si="6"/>
        <v>33</v>
      </c>
      <c r="E96" s="472">
        <f t="shared" si="7"/>
        <v>13</v>
      </c>
      <c r="F96" s="472" t="str">
        <f t="shared" si="9"/>
        <v>cr</v>
      </c>
      <c r="G96" s="472" t="s">
        <v>507</v>
      </c>
      <c r="H96" s="472" t="s">
        <v>340</v>
      </c>
      <c r="I96" s="472" t="s">
        <v>508</v>
      </c>
      <c r="K96" s="473">
        <f t="shared" si="8"/>
        <v>1600</v>
      </c>
      <c r="M96" s="473">
        <v>1600</v>
      </c>
    </row>
    <row r="97" spans="1:15">
      <c r="A97" s="472">
        <v>1</v>
      </c>
      <c r="C97" s="472">
        <f t="shared" si="5"/>
        <v>35</v>
      </c>
      <c r="D97" s="472">
        <f t="shared" si="6"/>
        <v>33</v>
      </c>
      <c r="E97" s="472">
        <f t="shared" si="7"/>
        <v>13</v>
      </c>
      <c r="F97" s="472" t="str">
        <f t="shared" si="9"/>
        <v>crx</v>
      </c>
      <c r="G97" s="472" t="s">
        <v>509</v>
      </c>
      <c r="H97" s="472" t="s">
        <v>340</v>
      </c>
      <c r="I97" s="472" t="s">
        <v>510</v>
      </c>
      <c r="K97" s="473">
        <f t="shared" si="8"/>
        <v>1600</v>
      </c>
      <c r="M97" s="473">
        <v>1600</v>
      </c>
    </row>
    <row r="98" spans="1:15">
      <c r="A98" s="472">
        <v>5</v>
      </c>
      <c r="C98" s="472">
        <f t="shared" si="5"/>
        <v>36</v>
      </c>
      <c r="D98" s="472">
        <f t="shared" si="6"/>
        <v>36</v>
      </c>
      <c r="E98" s="472">
        <f t="shared" si="7"/>
        <v>13</v>
      </c>
      <c r="F98" s="472" t="str">
        <f t="shared" si="9"/>
        <v>pm</v>
      </c>
      <c r="G98" s="472" t="s">
        <v>511</v>
      </c>
      <c r="H98" s="472" t="s">
        <v>512</v>
      </c>
      <c r="I98" s="472" t="s">
        <v>513</v>
      </c>
      <c r="K98" s="473">
        <f t="shared" si="8"/>
        <v>1543.1379599637289</v>
      </c>
      <c r="M98" s="473">
        <v>1600</v>
      </c>
      <c r="O98" s="472">
        <v>1543.1379599637289</v>
      </c>
    </row>
    <row r="99" spans="1:15">
      <c r="A99" s="472">
        <v>4</v>
      </c>
      <c r="C99" s="472">
        <f t="shared" si="5"/>
        <v>37</v>
      </c>
      <c r="D99" s="472">
        <f t="shared" si="6"/>
        <v>37</v>
      </c>
      <c r="E99" s="472">
        <f t="shared" si="7"/>
        <v>13</v>
      </c>
      <c r="F99" s="472" t="str">
        <f t="shared" si="9"/>
        <v>pm</v>
      </c>
      <c r="G99" s="472" t="s">
        <v>514</v>
      </c>
      <c r="H99" s="472" t="s">
        <v>370</v>
      </c>
      <c r="I99" s="472" t="s">
        <v>515</v>
      </c>
      <c r="K99" s="473">
        <f t="shared" si="8"/>
        <v>1510.6135428350065</v>
      </c>
      <c r="M99" s="473">
        <v>1600</v>
      </c>
      <c r="O99" s="472">
        <v>1510.6135428350065</v>
      </c>
    </row>
    <row r="100" spans="1:15">
      <c r="A100" s="472">
        <v>3</v>
      </c>
      <c r="C100" s="472">
        <f t="shared" si="5"/>
        <v>38</v>
      </c>
      <c r="D100" s="472">
        <f t="shared" si="6"/>
        <v>38</v>
      </c>
      <c r="E100" s="472">
        <f t="shared" si="7"/>
        <v>13</v>
      </c>
      <c r="F100" s="472" t="str">
        <f t="shared" si="9"/>
        <v>pm</v>
      </c>
      <c r="G100" s="472" t="s">
        <v>516</v>
      </c>
      <c r="H100" s="472" t="s">
        <v>331</v>
      </c>
      <c r="I100" s="472" t="s">
        <v>517</v>
      </c>
      <c r="K100" s="473">
        <f t="shared" si="8"/>
        <v>1640.5992668477998</v>
      </c>
      <c r="M100" s="473">
        <v>1600</v>
      </c>
      <c r="O100" s="472">
        <v>1640.5992668477998</v>
      </c>
    </row>
    <row r="101" spans="1:15">
      <c r="A101" s="472">
        <v>3</v>
      </c>
      <c r="C101" s="472">
        <f t="shared" si="5"/>
        <v>39</v>
      </c>
      <c r="D101" s="472">
        <f t="shared" si="6"/>
        <v>39</v>
      </c>
      <c r="E101" s="472">
        <f t="shared" si="7"/>
        <v>13</v>
      </c>
      <c r="F101" s="472" t="str">
        <f t="shared" si="9"/>
        <v>pm</v>
      </c>
      <c r="G101" s="472" t="s">
        <v>518</v>
      </c>
      <c r="H101" s="472" t="s">
        <v>331</v>
      </c>
      <c r="I101" s="472" t="s">
        <v>519</v>
      </c>
      <c r="K101" s="473">
        <f t="shared" si="8"/>
        <v>1600</v>
      </c>
      <c r="M101" s="473">
        <v>1600</v>
      </c>
    </row>
    <row r="102" spans="1:15">
      <c r="A102" s="472">
        <v>3</v>
      </c>
      <c r="C102" s="472">
        <f t="shared" si="5"/>
        <v>40</v>
      </c>
      <c r="D102" s="472">
        <f t="shared" si="6"/>
        <v>39</v>
      </c>
      <c r="E102" s="472">
        <f t="shared" si="7"/>
        <v>13</v>
      </c>
      <c r="F102" s="472" t="str">
        <f t="shared" si="9"/>
        <v>pm</v>
      </c>
      <c r="G102" s="472" t="s">
        <v>520</v>
      </c>
      <c r="H102" s="472" t="s">
        <v>331</v>
      </c>
      <c r="I102" s="472" t="s">
        <v>521</v>
      </c>
      <c r="K102" s="473">
        <f t="shared" si="8"/>
        <v>1600</v>
      </c>
      <c r="M102" s="473">
        <v>1600</v>
      </c>
    </row>
    <row r="103" spans="1:15">
      <c r="A103" s="472">
        <v>5</v>
      </c>
      <c r="C103" s="472">
        <f t="shared" si="5"/>
        <v>41</v>
      </c>
      <c r="D103" s="472">
        <f t="shared" si="6"/>
        <v>41</v>
      </c>
      <c r="E103" s="472">
        <f t="shared" si="7"/>
        <v>13</v>
      </c>
      <c r="F103" s="472" t="str">
        <f t="shared" si="9"/>
        <v>pm</v>
      </c>
      <c r="G103" s="472" t="s">
        <v>522</v>
      </c>
      <c r="H103" s="472" t="s">
        <v>383</v>
      </c>
      <c r="I103" s="472" t="s">
        <v>523</v>
      </c>
      <c r="K103" s="473">
        <f t="shared" si="8"/>
        <v>1728.897291095632</v>
      </c>
      <c r="M103" s="473">
        <v>1600</v>
      </c>
      <c r="O103" s="472">
        <v>1728.897291095632</v>
      </c>
    </row>
    <row r="104" spans="1:15">
      <c r="A104" s="472">
        <v>6</v>
      </c>
      <c r="C104" s="472">
        <f t="shared" si="5"/>
        <v>42</v>
      </c>
      <c r="D104" s="472">
        <f t="shared" si="6"/>
        <v>42</v>
      </c>
      <c r="E104" s="472">
        <f t="shared" si="7"/>
        <v>13</v>
      </c>
      <c r="F104" s="472" t="str">
        <f t="shared" si="9"/>
        <v>pm</v>
      </c>
      <c r="G104" s="472" t="s">
        <v>524</v>
      </c>
      <c r="H104" s="472" t="s">
        <v>386</v>
      </c>
      <c r="I104" s="472" t="s">
        <v>525</v>
      </c>
      <c r="K104" s="473">
        <f t="shared" si="8"/>
        <v>1625.3262917022503</v>
      </c>
      <c r="M104" s="473">
        <v>1600</v>
      </c>
      <c r="O104" s="472">
        <v>1625.3262917022503</v>
      </c>
    </row>
    <row r="105" spans="1:15">
      <c r="A105" s="472">
        <v>5</v>
      </c>
      <c r="C105" s="472">
        <f t="shared" si="5"/>
        <v>43</v>
      </c>
      <c r="D105" s="472">
        <f t="shared" si="6"/>
        <v>43</v>
      </c>
      <c r="E105" s="472">
        <f t="shared" si="7"/>
        <v>13</v>
      </c>
      <c r="F105" s="472" t="str">
        <f t="shared" si="9"/>
        <v>pm</v>
      </c>
      <c r="G105" s="472" t="s">
        <v>526</v>
      </c>
      <c r="H105" s="472" t="s">
        <v>386</v>
      </c>
      <c r="I105" s="472" t="s">
        <v>527</v>
      </c>
      <c r="K105" s="473">
        <f t="shared" si="8"/>
        <v>1600</v>
      </c>
      <c r="M105" s="473">
        <v>1600</v>
      </c>
    </row>
    <row r="106" spans="1:15">
      <c r="A106" s="472">
        <v>1</v>
      </c>
      <c r="C106" s="472">
        <f t="shared" si="5"/>
        <v>44</v>
      </c>
      <c r="D106" s="472">
        <f t="shared" si="6"/>
        <v>43</v>
      </c>
      <c r="E106" s="472">
        <f t="shared" si="7"/>
        <v>13</v>
      </c>
      <c r="F106" s="472" t="str">
        <f t="shared" si="9"/>
        <v>sox</v>
      </c>
      <c r="G106" s="472" t="s">
        <v>528</v>
      </c>
      <c r="H106" s="472" t="s">
        <v>529</v>
      </c>
      <c r="I106" s="472" t="s">
        <v>530</v>
      </c>
      <c r="K106" s="473">
        <f t="shared" si="8"/>
        <v>1600</v>
      </c>
      <c r="M106" s="473">
        <v>1600</v>
      </c>
    </row>
    <row r="107" spans="1:15">
      <c r="A107" s="472">
        <v>2</v>
      </c>
      <c r="C107" s="472">
        <f t="shared" si="5"/>
        <v>45</v>
      </c>
      <c r="D107" s="472">
        <f t="shared" si="6"/>
        <v>43</v>
      </c>
      <c r="E107" s="472">
        <f t="shared" si="7"/>
        <v>13</v>
      </c>
      <c r="F107" s="472" t="str">
        <f t="shared" si="9"/>
        <v>so</v>
      </c>
      <c r="G107" s="472" t="s">
        <v>531</v>
      </c>
      <c r="H107" s="472" t="s">
        <v>529</v>
      </c>
      <c r="I107" s="472" t="s">
        <v>532</v>
      </c>
      <c r="K107" s="473">
        <f t="shared" si="8"/>
        <v>1600</v>
      </c>
      <c r="M107" s="473">
        <v>1600</v>
      </c>
    </row>
    <row r="108" spans="1:15">
      <c r="A108" s="472">
        <v>5</v>
      </c>
      <c r="C108" s="472">
        <f t="shared" si="5"/>
        <v>46</v>
      </c>
      <c r="D108" s="472">
        <f t="shared" si="6"/>
        <v>46</v>
      </c>
      <c r="E108" s="472">
        <f t="shared" si="7"/>
        <v>13</v>
      </c>
      <c r="F108" s="472" t="str">
        <f t="shared" si="9"/>
        <v>pm</v>
      </c>
      <c r="G108" s="472" t="s">
        <v>533</v>
      </c>
      <c r="H108" s="472" t="s">
        <v>301</v>
      </c>
      <c r="I108" s="472" t="s">
        <v>534</v>
      </c>
      <c r="K108" s="473">
        <f t="shared" si="8"/>
        <v>1605.2989833259981</v>
      </c>
      <c r="M108" s="473">
        <v>1600</v>
      </c>
      <c r="O108" s="472">
        <v>1605.2989833259981</v>
      </c>
    </row>
    <row r="109" spans="1:15">
      <c r="A109" s="472">
        <v>6</v>
      </c>
      <c r="C109" s="472">
        <f t="shared" si="5"/>
        <v>47</v>
      </c>
      <c r="D109" s="472">
        <f t="shared" si="6"/>
        <v>47</v>
      </c>
      <c r="E109" s="472">
        <f t="shared" si="7"/>
        <v>13</v>
      </c>
      <c r="F109" s="472" t="str">
        <f t="shared" si="9"/>
        <v>pm</v>
      </c>
      <c r="G109" s="472" t="s">
        <v>535</v>
      </c>
      <c r="H109" s="472" t="s">
        <v>394</v>
      </c>
      <c r="I109" s="472" t="s">
        <v>536</v>
      </c>
      <c r="K109" s="473">
        <f t="shared" si="8"/>
        <v>1508.2672187375808</v>
      </c>
      <c r="M109" s="473">
        <v>1600</v>
      </c>
      <c r="O109" s="472">
        <v>1508.2672187375808</v>
      </c>
    </row>
    <row r="110" spans="1:15">
      <c r="A110" s="472">
        <v>4</v>
      </c>
      <c r="C110" s="472">
        <f t="shared" si="5"/>
        <v>48</v>
      </c>
      <c r="D110" s="472">
        <f t="shared" si="6"/>
        <v>48</v>
      </c>
      <c r="E110" s="472">
        <f t="shared" si="7"/>
        <v>13</v>
      </c>
      <c r="F110" s="472" t="str">
        <f t="shared" si="9"/>
        <v>pm</v>
      </c>
      <c r="G110" s="472" t="s">
        <v>537</v>
      </c>
      <c r="H110" s="472" t="s">
        <v>397</v>
      </c>
      <c r="I110" s="472" t="s">
        <v>538</v>
      </c>
      <c r="K110" s="473">
        <f t="shared" si="8"/>
        <v>1600</v>
      </c>
      <c r="M110" s="473">
        <v>1600</v>
      </c>
    </row>
    <row r="111" spans="1:15">
      <c r="A111" s="472">
        <v>3</v>
      </c>
      <c r="C111" s="472">
        <f t="shared" si="5"/>
        <v>49</v>
      </c>
      <c r="D111" s="472">
        <f t="shared" si="6"/>
        <v>48</v>
      </c>
      <c r="E111" s="472">
        <f t="shared" si="7"/>
        <v>13</v>
      </c>
      <c r="F111" s="472" t="str">
        <f t="shared" si="9"/>
        <v>pm</v>
      </c>
      <c r="G111" s="472" t="s">
        <v>539</v>
      </c>
      <c r="H111" s="472" t="s">
        <v>540</v>
      </c>
      <c r="I111" s="472" t="s">
        <v>541</v>
      </c>
      <c r="K111" s="473">
        <f t="shared" si="8"/>
        <v>1600</v>
      </c>
      <c r="M111" s="473">
        <v>1600</v>
      </c>
    </row>
    <row r="112" spans="1:15">
      <c r="A112" s="472">
        <v>1</v>
      </c>
      <c r="C112" s="472">
        <f t="shared" si="5"/>
        <v>50</v>
      </c>
      <c r="D112" s="472">
        <f t="shared" si="6"/>
        <v>48</v>
      </c>
      <c r="E112" s="472">
        <f t="shared" si="7"/>
        <v>13</v>
      </c>
      <c r="F112" s="472" t="str">
        <f t="shared" si="9"/>
        <v>sox</v>
      </c>
      <c r="G112" s="472" t="s">
        <v>542</v>
      </c>
      <c r="H112" s="472" t="s">
        <v>543</v>
      </c>
      <c r="I112" s="472" t="s">
        <v>544</v>
      </c>
      <c r="K112" s="473">
        <f t="shared" si="8"/>
        <v>1600</v>
      </c>
      <c r="M112" s="473">
        <v>1600</v>
      </c>
    </row>
    <row r="113" spans="1:15">
      <c r="A113" s="472">
        <v>5</v>
      </c>
      <c r="C113" s="472">
        <f t="shared" si="5"/>
        <v>51</v>
      </c>
      <c r="D113" s="472">
        <f t="shared" si="6"/>
        <v>48</v>
      </c>
      <c r="E113" s="472">
        <f t="shared" si="7"/>
        <v>13</v>
      </c>
      <c r="F113" s="472" t="str">
        <f t="shared" si="9"/>
        <v>pm</v>
      </c>
      <c r="G113" s="472" t="s">
        <v>545</v>
      </c>
      <c r="H113" s="472" t="s">
        <v>402</v>
      </c>
      <c r="I113" s="472" t="s">
        <v>546</v>
      </c>
      <c r="K113" s="473">
        <f t="shared" si="8"/>
        <v>1600</v>
      </c>
      <c r="M113" s="473">
        <v>1600</v>
      </c>
    </row>
    <row r="114" spans="1:15">
      <c r="A114" s="472">
        <v>6</v>
      </c>
      <c r="C114" s="472">
        <f t="shared" si="5"/>
        <v>52</v>
      </c>
      <c r="D114" s="472">
        <f t="shared" si="6"/>
        <v>52</v>
      </c>
      <c r="E114" s="472">
        <f t="shared" si="7"/>
        <v>13</v>
      </c>
      <c r="F114" s="472" t="str">
        <f t="shared" si="9"/>
        <v>pm</v>
      </c>
      <c r="G114" s="472" t="s">
        <v>547</v>
      </c>
      <c r="H114" s="472" t="s">
        <v>421</v>
      </c>
      <c r="I114" s="472" t="s">
        <v>548</v>
      </c>
      <c r="K114" s="473">
        <f t="shared" si="8"/>
        <v>1645.408006056949</v>
      </c>
      <c r="M114" s="473">
        <v>1600</v>
      </c>
      <c r="O114" s="472">
        <v>1645.408006056949</v>
      </c>
    </row>
    <row r="115" spans="1:15">
      <c r="A115" s="472">
        <v>2</v>
      </c>
      <c r="C115" s="472">
        <f t="shared" si="5"/>
        <v>53</v>
      </c>
      <c r="D115" s="472">
        <f t="shared" si="6"/>
        <v>53</v>
      </c>
      <c r="E115" s="472">
        <f t="shared" si="7"/>
        <v>13</v>
      </c>
      <c r="F115" s="472" t="str">
        <f t="shared" si="9"/>
        <v>cr</v>
      </c>
      <c r="G115" s="472" t="s">
        <v>549</v>
      </c>
      <c r="H115" s="472" t="s">
        <v>405</v>
      </c>
      <c r="I115" s="472" t="s">
        <v>550</v>
      </c>
      <c r="K115" s="473">
        <f t="shared" si="8"/>
        <v>1600</v>
      </c>
      <c r="M115" s="473">
        <v>1600</v>
      </c>
    </row>
    <row r="116" spans="1:15">
      <c r="A116" s="472">
        <v>2</v>
      </c>
      <c r="C116" s="472">
        <f t="shared" si="5"/>
        <v>54</v>
      </c>
      <c r="D116" s="472">
        <f t="shared" si="6"/>
        <v>53</v>
      </c>
      <c r="E116" s="472">
        <f t="shared" si="7"/>
        <v>13</v>
      </c>
      <c r="F116" s="472" t="str">
        <f t="shared" si="9"/>
        <v>cr</v>
      </c>
      <c r="G116" s="472" t="s">
        <v>551</v>
      </c>
      <c r="H116" s="472" t="s">
        <v>405</v>
      </c>
      <c r="I116" s="472" t="s">
        <v>552</v>
      </c>
      <c r="K116" s="473">
        <f t="shared" si="8"/>
        <v>1600</v>
      </c>
      <c r="M116" s="473">
        <v>1600</v>
      </c>
    </row>
    <row r="117" spans="1:15">
      <c r="A117" s="472">
        <v>2</v>
      </c>
      <c r="C117" s="472">
        <f t="shared" si="5"/>
        <v>55</v>
      </c>
      <c r="D117" s="472">
        <f t="shared" si="6"/>
        <v>53</v>
      </c>
      <c r="E117" s="472">
        <f t="shared" si="7"/>
        <v>13</v>
      </c>
      <c r="F117" s="472" t="str">
        <f t="shared" si="9"/>
        <v>pm</v>
      </c>
      <c r="G117" s="472" t="s">
        <v>553</v>
      </c>
      <c r="H117" s="472" t="s">
        <v>154</v>
      </c>
      <c r="I117" s="472" t="s">
        <v>554</v>
      </c>
      <c r="K117" s="473">
        <f t="shared" si="8"/>
        <v>1600</v>
      </c>
      <c r="M117" s="473">
        <v>1600</v>
      </c>
    </row>
    <row r="118" spans="1:15">
      <c r="A118" s="472">
        <v>2</v>
      </c>
      <c r="C118" s="472">
        <f t="shared" si="5"/>
        <v>56</v>
      </c>
      <c r="D118" s="472">
        <f t="shared" si="6"/>
        <v>53</v>
      </c>
      <c r="E118" s="472">
        <f t="shared" si="7"/>
        <v>13</v>
      </c>
      <c r="F118" s="472" t="str">
        <f t="shared" si="9"/>
        <v>pm</v>
      </c>
      <c r="G118" s="472" t="s">
        <v>555</v>
      </c>
      <c r="H118" s="472" t="s">
        <v>154</v>
      </c>
      <c r="I118" s="472" t="s">
        <v>556</v>
      </c>
      <c r="K118" s="473">
        <f t="shared" si="8"/>
        <v>1600</v>
      </c>
      <c r="M118" s="473">
        <v>1600</v>
      </c>
    </row>
    <row r="119" spans="1:15">
      <c r="A119" s="472">
        <v>2</v>
      </c>
      <c r="C119" s="472">
        <f t="shared" si="5"/>
        <v>57</v>
      </c>
      <c r="D119" s="472">
        <f t="shared" si="6"/>
        <v>53</v>
      </c>
      <c r="E119" s="472">
        <f t="shared" si="7"/>
        <v>13</v>
      </c>
      <c r="F119" s="472" t="str">
        <f t="shared" si="9"/>
        <v>pm</v>
      </c>
      <c r="G119" s="472" t="s">
        <v>557</v>
      </c>
      <c r="H119" s="472" t="s">
        <v>154</v>
      </c>
      <c r="I119" s="472" t="s">
        <v>558</v>
      </c>
      <c r="K119" s="473">
        <f t="shared" si="8"/>
        <v>1600</v>
      </c>
      <c r="M119" s="473">
        <v>1600</v>
      </c>
    </row>
    <row r="120" spans="1:15">
      <c r="A120" s="472">
        <v>2</v>
      </c>
      <c r="C120" s="472">
        <f t="shared" si="5"/>
        <v>58</v>
      </c>
      <c r="D120" s="472">
        <f t="shared" si="6"/>
        <v>53</v>
      </c>
      <c r="E120" s="472">
        <f t="shared" si="7"/>
        <v>13</v>
      </c>
      <c r="F120" s="472" t="str">
        <f t="shared" si="9"/>
        <v>pm</v>
      </c>
      <c r="G120" s="472" t="s">
        <v>559</v>
      </c>
      <c r="H120" s="472" t="s">
        <v>154</v>
      </c>
      <c r="I120" s="472" t="s">
        <v>560</v>
      </c>
      <c r="K120" s="473">
        <f t="shared" si="8"/>
        <v>1600</v>
      </c>
      <c r="M120" s="473">
        <v>1600</v>
      </c>
    </row>
    <row r="121" spans="1:15">
      <c r="A121" s="472">
        <v>5</v>
      </c>
      <c r="C121" s="472">
        <f t="shared" si="5"/>
        <v>59</v>
      </c>
      <c r="D121" s="472">
        <f t="shared" si="6"/>
        <v>59</v>
      </c>
      <c r="E121" s="472">
        <f t="shared" si="7"/>
        <v>13</v>
      </c>
      <c r="F121" s="472" t="str">
        <f t="shared" si="9"/>
        <v>pm</v>
      </c>
      <c r="G121" s="472" t="s">
        <v>561</v>
      </c>
      <c r="H121" s="472" t="s">
        <v>337</v>
      </c>
      <c r="I121" s="472" t="s">
        <v>562</v>
      </c>
      <c r="K121" s="473">
        <f t="shared" si="8"/>
        <v>1496.0605297120387</v>
      </c>
      <c r="M121" s="473">
        <v>1600</v>
      </c>
      <c r="O121" s="472">
        <v>1496.0605297120387</v>
      </c>
    </row>
    <row r="122" spans="1:15">
      <c r="A122" s="472">
        <v>2</v>
      </c>
      <c r="C122" s="472">
        <f t="shared" si="5"/>
        <v>60</v>
      </c>
      <c r="D122" s="472">
        <f t="shared" si="6"/>
        <v>60</v>
      </c>
      <c r="E122" s="472">
        <f t="shared" si="7"/>
        <v>13</v>
      </c>
      <c r="F122" s="472" t="str">
        <f t="shared" si="9"/>
        <v>pm</v>
      </c>
      <c r="G122" s="472" t="s">
        <v>563</v>
      </c>
      <c r="H122" s="472" t="s">
        <v>564</v>
      </c>
      <c r="I122" s="472" t="s">
        <v>565</v>
      </c>
      <c r="K122" s="473">
        <f t="shared" si="8"/>
        <v>1600</v>
      </c>
      <c r="M122" s="473">
        <v>1600</v>
      </c>
    </row>
    <row r="123" spans="1:15">
      <c r="A123" s="472">
        <v>1</v>
      </c>
      <c r="C123" s="472">
        <f t="shared" si="5"/>
        <v>61</v>
      </c>
      <c r="D123" s="472">
        <f t="shared" si="6"/>
        <v>60</v>
      </c>
      <c r="E123" s="472">
        <f t="shared" si="7"/>
        <v>13</v>
      </c>
      <c r="F123" s="472" t="str">
        <f t="shared" si="9"/>
        <v>sox</v>
      </c>
      <c r="G123" s="472" t="s">
        <v>566</v>
      </c>
      <c r="H123" s="472" t="s">
        <v>430</v>
      </c>
      <c r="I123" s="472" t="s">
        <v>567</v>
      </c>
      <c r="K123" s="473">
        <f t="shared" si="8"/>
        <v>1600</v>
      </c>
      <c r="M123" s="473">
        <v>1600</v>
      </c>
    </row>
    <row r="124" spans="1:15">
      <c r="A124" s="472">
        <v>2</v>
      </c>
      <c r="C124" s="472">
        <f t="shared" si="5"/>
        <v>62</v>
      </c>
      <c r="D124" s="472">
        <f t="shared" si="6"/>
        <v>60</v>
      </c>
      <c r="E124" s="472">
        <f t="shared" si="7"/>
        <v>13</v>
      </c>
      <c r="F124" s="472" t="str">
        <f t="shared" si="9"/>
        <v>so</v>
      </c>
      <c r="G124" s="472" t="s">
        <v>568</v>
      </c>
      <c r="H124" s="472" t="s">
        <v>430</v>
      </c>
      <c r="I124" s="472" t="s">
        <v>569</v>
      </c>
      <c r="K124" s="473">
        <f t="shared" si="8"/>
        <v>1600</v>
      </c>
      <c r="M124" s="473">
        <v>1600</v>
      </c>
    </row>
    <row r="125" spans="1:15">
      <c r="A125" s="472">
        <v>7</v>
      </c>
      <c r="C125" s="472">
        <f t="shared" si="5"/>
        <v>63</v>
      </c>
      <c r="D125" s="472">
        <f t="shared" si="6"/>
        <v>63</v>
      </c>
      <c r="E125" s="472">
        <f t="shared" si="7"/>
        <v>13</v>
      </c>
      <c r="F125" s="472" t="str">
        <f t="shared" si="9"/>
        <v>pm</v>
      </c>
      <c r="G125" s="472" t="s">
        <v>570</v>
      </c>
      <c r="H125" s="472" t="s">
        <v>411</v>
      </c>
      <c r="I125" s="472" t="s">
        <v>571</v>
      </c>
      <c r="K125" s="473">
        <f t="shared" si="8"/>
        <v>1577.4900729060989</v>
      </c>
      <c r="M125" s="473">
        <v>1600</v>
      </c>
      <c r="O125" s="472">
        <v>1577.4900729060989</v>
      </c>
    </row>
    <row r="126" spans="1:15">
      <c r="A126" s="472">
        <v>5</v>
      </c>
      <c r="C126" s="472">
        <f t="shared" si="5"/>
        <v>64</v>
      </c>
      <c r="D126" s="472">
        <f t="shared" si="6"/>
        <v>64</v>
      </c>
      <c r="E126" s="472">
        <f t="shared" si="7"/>
        <v>13</v>
      </c>
      <c r="F126" s="472" t="str">
        <f t="shared" si="9"/>
        <v>pm</v>
      </c>
      <c r="G126" s="472" t="s">
        <v>572</v>
      </c>
      <c r="H126" s="472" t="s">
        <v>86</v>
      </c>
      <c r="I126" s="472" t="s">
        <v>573</v>
      </c>
      <c r="K126" s="473">
        <f t="shared" si="8"/>
        <v>1600</v>
      </c>
      <c r="M126" s="473">
        <v>1600</v>
      </c>
    </row>
    <row r="127" spans="1:15">
      <c r="A127" s="472">
        <v>5</v>
      </c>
      <c r="C127" s="472">
        <f t="shared" si="5"/>
        <v>65</v>
      </c>
      <c r="D127" s="472">
        <f t="shared" si="6"/>
        <v>64</v>
      </c>
      <c r="E127" s="472">
        <f t="shared" si="7"/>
        <v>13</v>
      </c>
      <c r="F127" s="472" t="str">
        <f t="shared" si="9"/>
        <v>pm</v>
      </c>
      <c r="G127" s="472" t="s">
        <v>574</v>
      </c>
      <c r="H127" s="472" t="s">
        <v>86</v>
      </c>
      <c r="I127" s="472" t="s">
        <v>575</v>
      </c>
      <c r="K127" s="473">
        <f t="shared" si="8"/>
        <v>1600</v>
      </c>
      <c r="M127" s="473">
        <v>1600</v>
      </c>
    </row>
    <row r="128" spans="1:15">
      <c r="A128" s="472">
        <v>3</v>
      </c>
      <c r="C128" s="472">
        <f t="shared" si="5"/>
        <v>66</v>
      </c>
      <c r="D128" s="472">
        <f t="shared" si="6"/>
        <v>64</v>
      </c>
      <c r="E128" s="472">
        <f t="shared" si="7"/>
        <v>13</v>
      </c>
      <c r="F128" s="472" t="str">
        <f t="shared" si="9"/>
        <v>pm</v>
      </c>
      <c r="G128" s="472" t="s">
        <v>576</v>
      </c>
      <c r="H128" s="472" t="s">
        <v>416</v>
      </c>
      <c r="I128" s="472" t="s">
        <v>577</v>
      </c>
      <c r="K128" s="473">
        <f t="shared" si="8"/>
        <v>1600</v>
      </c>
      <c r="M128" s="473">
        <v>1600</v>
      </c>
    </row>
    <row r="129" spans="1:14">
      <c r="A129" s="472">
        <v>5</v>
      </c>
      <c r="C129" s="472">
        <f t="shared" si="5"/>
        <v>67</v>
      </c>
      <c r="D129" s="472">
        <f t="shared" si="6"/>
        <v>64</v>
      </c>
      <c r="E129" s="472">
        <f t="shared" si="7"/>
        <v>13</v>
      </c>
      <c r="F129" s="472" t="str">
        <f t="shared" si="9"/>
        <v>pm</v>
      </c>
      <c r="G129" s="472" t="s">
        <v>578</v>
      </c>
      <c r="H129" s="472" t="s">
        <v>579</v>
      </c>
      <c r="I129" s="472" t="s">
        <v>580</v>
      </c>
      <c r="K129" s="473">
        <f t="shared" si="8"/>
        <v>1600</v>
      </c>
      <c r="M129" s="473">
        <v>1600</v>
      </c>
    </row>
    <row r="130" spans="1:14">
      <c r="A130" s="472">
        <v>4</v>
      </c>
      <c r="C130" s="472">
        <f t="shared" ref="C130:C193" si="10">IF(E130=E129,C129+1,1)</f>
        <v>68</v>
      </c>
      <c r="D130" s="472">
        <f t="shared" ref="D130:D193" si="11">IF(K130=K129,D129,C130)</f>
        <v>64</v>
      </c>
      <c r="E130" s="472">
        <f t="shared" ref="E130:E193" si="12">10+VALUE(RIGHT(LEFT(G130,3),1))</f>
        <v>13</v>
      </c>
      <c r="F130" s="472" t="str">
        <f t="shared" si="9"/>
        <v>pm</v>
      </c>
      <c r="G130" s="472" t="s">
        <v>581</v>
      </c>
      <c r="H130" s="472" t="s">
        <v>483</v>
      </c>
      <c r="I130" s="472" t="s">
        <v>582</v>
      </c>
      <c r="K130" s="473">
        <f t="shared" ref="K130:K193" si="13">LOOKUP(1E+100,M130:AC130)</f>
        <v>1600</v>
      </c>
      <c r="M130" s="473">
        <v>1600</v>
      </c>
    </row>
    <row r="131" spans="1:14">
      <c r="A131" s="472">
        <v>4</v>
      </c>
      <c r="C131" s="472">
        <f t="shared" si="10"/>
        <v>69</v>
      </c>
      <c r="D131" s="472">
        <f t="shared" si="11"/>
        <v>64</v>
      </c>
      <c r="E131" s="472">
        <f t="shared" si="12"/>
        <v>13</v>
      </c>
      <c r="F131" s="472" t="str">
        <f t="shared" ref="F131:F194" si="14">RIGHT(G131,2) &amp; IF(A131&lt;2,"x","")</f>
        <v>pm</v>
      </c>
      <c r="G131" s="472" t="s">
        <v>583</v>
      </c>
      <c r="H131" s="472" t="s">
        <v>483</v>
      </c>
      <c r="I131" s="472" t="s">
        <v>584</v>
      </c>
      <c r="K131" s="473">
        <f t="shared" si="13"/>
        <v>1600</v>
      </c>
      <c r="M131" s="473">
        <v>1600</v>
      </c>
    </row>
    <row r="132" spans="1:14">
      <c r="A132" s="472">
        <v>2</v>
      </c>
      <c r="C132" s="472">
        <f t="shared" si="10"/>
        <v>1</v>
      </c>
      <c r="D132" s="472">
        <f t="shared" si="11"/>
        <v>1</v>
      </c>
      <c r="E132" s="472">
        <f t="shared" si="12"/>
        <v>14</v>
      </c>
      <c r="F132" s="472" t="str">
        <f t="shared" si="14"/>
        <v>pm</v>
      </c>
      <c r="G132" s="472" t="s">
        <v>585</v>
      </c>
      <c r="H132" s="472" t="s">
        <v>86</v>
      </c>
      <c r="I132" s="472" t="s">
        <v>586</v>
      </c>
      <c r="K132" s="473">
        <f t="shared" si="13"/>
        <v>2300</v>
      </c>
      <c r="M132" s="473">
        <v>2300</v>
      </c>
    </row>
    <row r="133" spans="1:14">
      <c r="A133" s="472">
        <v>2</v>
      </c>
      <c r="C133" s="472">
        <f t="shared" si="10"/>
        <v>2</v>
      </c>
      <c r="D133" s="472">
        <f t="shared" si="11"/>
        <v>2</v>
      </c>
      <c r="E133" s="472">
        <f t="shared" si="12"/>
        <v>14</v>
      </c>
      <c r="F133" s="472" t="str">
        <f t="shared" si="14"/>
        <v>pm</v>
      </c>
      <c r="G133" s="472" t="s">
        <v>587</v>
      </c>
      <c r="H133" s="472" t="s">
        <v>123</v>
      </c>
      <c r="I133" s="472" t="s">
        <v>588</v>
      </c>
      <c r="K133" s="473">
        <f t="shared" si="13"/>
        <v>2248.7430591333896</v>
      </c>
      <c r="M133" s="473">
        <v>2200</v>
      </c>
      <c r="N133" s="472">
        <v>2248.7430591333896</v>
      </c>
    </row>
    <row r="134" spans="1:14">
      <c r="A134" s="472">
        <v>1</v>
      </c>
      <c r="C134" s="472">
        <f t="shared" si="10"/>
        <v>3</v>
      </c>
      <c r="D134" s="472">
        <f t="shared" si="11"/>
        <v>3</v>
      </c>
      <c r="E134" s="472">
        <f t="shared" si="12"/>
        <v>14</v>
      </c>
      <c r="F134" s="472" t="str">
        <f t="shared" si="14"/>
        <v>sox</v>
      </c>
      <c r="G134" s="472" t="s">
        <v>589</v>
      </c>
      <c r="H134" s="472" t="s">
        <v>590</v>
      </c>
      <c r="I134" s="472" t="s">
        <v>591</v>
      </c>
      <c r="K134" s="473">
        <f t="shared" si="13"/>
        <v>2200</v>
      </c>
      <c r="M134" s="473">
        <v>2200</v>
      </c>
    </row>
    <row r="135" spans="1:14">
      <c r="A135" s="472">
        <v>1</v>
      </c>
      <c r="C135" s="472">
        <f t="shared" si="10"/>
        <v>4</v>
      </c>
      <c r="D135" s="472">
        <f t="shared" si="11"/>
        <v>3</v>
      </c>
      <c r="E135" s="472">
        <f t="shared" si="12"/>
        <v>14</v>
      </c>
      <c r="F135" s="472" t="str">
        <f t="shared" si="14"/>
        <v>sox</v>
      </c>
      <c r="G135" s="472" t="s">
        <v>592</v>
      </c>
      <c r="H135" s="472" t="s">
        <v>351</v>
      </c>
      <c r="I135" s="472" t="s">
        <v>593</v>
      </c>
      <c r="K135" s="473">
        <f t="shared" si="13"/>
        <v>2200</v>
      </c>
      <c r="M135" s="473">
        <v>2200</v>
      </c>
    </row>
    <row r="136" spans="1:14">
      <c r="A136" s="472">
        <v>2</v>
      </c>
      <c r="C136" s="472">
        <f t="shared" si="10"/>
        <v>5</v>
      </c>
      <c r="D136" s="472">
        <f t="shared" si="11"/>
        <v>3</v>
      </c>
      <c r="E136" s="472">
        <f t="shared" si="12"/>
        <v>14</v>
      </c>
      <c r="F136" s="472" t="str">
        <f t="shared" si="14"/>
        <v>cr</v>
      </c>
      <c r="G136" s="472" t="s">
        <v>594</v>
      </c>
      <c r="H136" s="472" t="s">
        <v>340</v>
      </c>
      <c r="I136" s="472" t="s">
        <v>595</v>
      </c>
      <c r="K136" s="473">
        <f t="shared" si="13"/>
        <v>2200</v>
      </c>
      <c r="M136" s="473">
        <v>2200</v>
      </c>
    </row>
    <row r="137" spans="1:14">
      <c r="A137" s="472">
        <v>2</v>
      </c>
      <c r="C137" s="472">
        <f t="shared" si="10"/>
        <v>6</v>
      </c>
      <c r="D137" s="472">
        <f t="shared" si="11"/>
        <v>6</v>
      </c>
      <c r="E137" s="472">
        <f t="shared" si="12"/>
        <v>14</v>
      </c>
      <c r="F137" s="472" t="str">
        <f t="shared" si="14"/>
        <v>pm</v>
      </c>
      <c r="G137" s="472" t="s">
        <v>596</v>
      </c>
      <c r="H137" s="472" t="s">
        <v>370</v>
      </c>
      <c r="I137" s="472" t="s">
        <v>597</v>
      </c>
      <c r="K137" s="473">
        <f t="shared" si="13"/>
        <v>2242.8082264482937</v>
      </c>
      <c r="M137" s="473">
        <v>2200</v>
      </c>
      <c r="N137" s="472">
        <v>2242.8082264482937</v>
      </c>
    </row>
    <row r="138" spans="1:14">
      <c r="A138" s="472">
        <v>2</v>
      </c>
      <c r="C138" s="472">
        <f t="shared" si="10"/>
        <v>7</v>
      </c>
      <c r="D138" s="472">
        <f t="shared" si="11"/>
        <v>7</v>
      </c>
      <c r="E138" s="472">
        <f t="shared" si="12"/>
        <v>14</v>
      </c>
      <c r="F138" s="472" t="str">
        <f t="shared" si="14"/>
        <v>pm</v>
      </c>
      <c r="G138" s="472" t="s">
        <v>598</v>
      </c>
      <c r="H138" s="472" t="s">
        <v>370</v>
      </c>
      <c r="I138" s="472" t="s">
        <v>599</v>
      </c>
      <c r="K138" s="473">
        <f t="shared" si="13"/>
        <v>2148.0572046490697</v>
      </c>
      <c r="M138" s="473">
        <v>2200</v>
      </c>
      <c r="N138" s="472">
        <v>2148.0572046490697</v>
      </c>
    </row>
    <row r="139" spans="1:14">
      <c r="A139" s="472">
        <v>3</v>
      </c>
      <c r="C139" s="472">
        <f t="shared" si="10"/>
        <v>8</v>
      </c>
      <c r="D139" s="472">
        <f t="shared" si="11"/>
        <v>8</v>
      </c>
      <c r="E139" s="472">
        <f t="shared" si="12"/>
        <v>14</v>
      </c>
      <c r="F139" s="472" t="str">
        <f t="shared" si="14"/>
        <v>pm</v>
      </c>
      <c r="G139" s="472" t="s">
        <v>600</v>
      </c>
      <c r="H139" s="472" t="s">
        <v>331</v>
      </c>
      <c r="I139" s="472" t="s">
        <v>601</v>
      </c>
      <c r="K139" s="473">
        <f t="shared" si="13"/>
        <v>2306.5141993458815</v>
      </c>
      <c r="M139" s="473">
        <v>2200</v>
      </c>
      <c r="N139" s="472">
        <v>2306.5141993458815</v>
      </c>
    </row>
    <row r="140" spans="1:14">
      <c r="A140" s="472">
        <v>4</v>
      </c>
      <c r="C140" s="472">
        <f t="shared" si="10"/>
        <v>9</v>
      </c>
      <c r="D140" s="472">
        <f t="shared" si="11"/>
        <v>9</v>
      </c>
      <c r="E140" s="472">
        <f t="shared" si="12"/>
        <v>14</v>
      </c>
      <c r="F140" s="472" t="str">
        <f t="shared" si="14"/>
        <v>pm</v>
      </c>
      <c r="G140" s="472" t="s">
        <v>602</v>
      </c>
      <c r="H140" s="472" t="s">
        <v>331</v>
      </c>
      <c r="I140" s="472" t="s">
        <v>603</v>
      </c>
      <c r="K140" s="473">
        <f t="shared" si="13"/>
        <v>2234.317086556041</v>
      </c>
      <c r="M140" s="473">
        <v>2200</v>
      </c>
      <c r="N140" s="472">
        <v>2234.317086556041</v>
      </c>
    </row>
    <row r="141" spans="1:14">
      <c r="A141" s="472">
        <v>4</v>
      </c>
      <c r="C141" s="472">
        <f t="shared" si="10"/>
        <v>10</v>
      </c>
      <c r="D141" s="472">
        <f t="shared" si="11"/>
        <v>10</v>
      </c>
      <c r="E141" s="472">
        <f t="shared" si="12"/>
        <v>14</v>
      </c>
      <c r="F141" s="472" t="str">
        <f t="shared" si="14"/>
        <v>pm</v>
      </c>
      <c r="G141" s="472" t="s">
        <v>604</v>
      </c>
      <c r="H141" s="472" t="s">
        <v>331</v>
      </c>
      <c r="I141" s="472" t="s">
        <v>605</v>
      </c>
      <c r="K141" s="473">
        <f t="shared" si="13"/>
        <v>2160.6945874992289</v>
      </c>
      <c r="M141" s="473">
        <v>2200</v>
      </c>
      <c r="N141" s="472">
        <v>2160.6945874992289</v>
      </c>
    </row>
    <row r="142" spans="1:14">
      <c r="A142" s="472">
        <v>6</v>
      </c>
      <c r="C142" s="472">
        <f t="shared" si="10"/>
        <v>11</v>
      </c>
      <c r="D142" s="472">
        <f t="shared" si="11"/>
        <v>11</v>
      </c>
      <c r="E142" s="472">
        <f t="shared" si="12"/>
        <v>14</v>
      </c>
      <c r="F142" s="472" t="str">
        <f t="shared" si="14"/>
        <v>pm</v>
      </c>
      <c r="G142" s="472" t="s">
        <v>606</v>
      </c>
      <c r="H142" s="472" t="s">
        <v>386</v>
      </c>
      <c r="I142" s="472" t="s">
        <v>607</v>
      </c>
      <c r="K142" s="473">
        <f t="shared" si="13"/>
        <v>2142.6540778770523</v>
      </c>
      <c r="M142" s="473">
        <v>2200</v>
      </c>
      <c r="N142" s="472">
        <v>2142.6540778770523</v>
      </c>
    </row>
    <row r="143" spans="1:14">
      <c r="A143" s="472">
        <v>1</v>
      </c>
      <c r="C143" s="472">
        <f t="shared" si="10"/>
        <v>12</v>
      </c>
      <c r="D143" s="472">
        <f t="shared" si="11"/>
        <v>12</v>
      </c>
      <c r="E143" s="472">
        <f t="shared" si="12"/>
        <v>14</v>
      </c>
      <c r="F143" s="472" t="str">
        <f t="shared" si="14"/>
        <v>pmx</v>
      </c>
      <c r="G143" s="472" t="s">
        <v>608</v>
      </c>
      <c r="H143" s="472" t="s">
        <v>449</v>
      </c>
      <c r="I143" s="472" t="s">
        <v>609</v>
      </c>
      <c r="K143" s="473">
        <f t="shared" si="13"/>
        <v>2200</v>
      </c>
      <c r="M143" s="473">
        <v>2200</v>
      </c>
    </row>
    <row r="144" spans="1:14">
      <c r="A144" s="472">
        <v>1</v>
      </c>
      <c r="C144" s="472">
        <f t="shared" si="10"/>
        <v>13</v>
      </c>
      <c r="D144" s="472">
        <f t="shared" si="11"/>
        <v>12</v>
      </c>
      <c r="E144" s="472">
        <f t="shared" si="12"/>
        <v>14</v>
      </c>
      <c r="F144" s="472" t="str">
        <f t="shared" si="14"/>
        <v>pmx</v>
      </c>
      <c r="G144" s="472" t="s">
        <v>610</v>
      </c>
      <c r="H144" s="472" t="s">
        <v>449</v>
      </c>
      <c r="I144" s="472" t="s">
        <v>611</v>
      </c>
      <c r="K144" s="473">
        <f t="shared" si="13"/>
        <v>2200</v>
      </c>
      <c r="M144" s="473">
        <v>2200</v>
      </c>
    </row>
    <row r="145" spans="1:14">
      <c r="A145" s="472">
        <v>1</v>
      </c>
      <c r="C145" s="472">
        <f t="shared" si="10"/>
        <v>14</v>
      </c>
      <c r="D145" s="472">
        <f t="shared" si="11"/>
        <v>12</v>
      </c>
      <c r="E145" s="472">
        <f t="shared" si="12"/>
        <v>14</v>
      </c>
      <c r="F145" s="472" t="str">
        <f t="shared" si="14"/>
        <v>crx</v>
      </c>
      <c r="G145" s="472" t="s">
        <v>612</v>
      </c>
      <c r="H145" s="472" t="s">
        <v>613</v>
      </c>
      <c r="I145" s="472" t="s">
        <v>614</v>
      </c>
      <c r="K145" s="473">
        <f t="shared" si="13"/>
        <v>2200</v>
      </c>
      <c r="M145" s="473">
        <v>2200</v>
      </c>
    </row>
    <row r="146" spans="1:14">
      <c r="A146" s="472">
        <v>1</v>
      </c>
      <c r="C146" s="472">
        <f t="shared" si="10"/>
        <v>15</v>
      </c>
      <c r="D146" s="472">
        <f t="shared" si="11"/>
        <v>12</v>
      </c>
      <c r="E146" s="472">
        <f t="shared" si="12"/>
        <v>14</v>
      </c>
      <c r="F146" s="472" t="str">
        <f t="shared" si="14"/>
        <v>crx</v>
      </c>
      <c r="G146" s="472" t="s">
        <v>615</v>
      </c>
      <c r="H146" s="472" t="s">
        <v>613</v>
      </c>
      <c r="I146" s="472" t="s">
        <v>616</v>
      </c>
      <c r="K146" s="473">
        <f t="shared" si="13"/>
        <v>2200</v>
      </c>
      <c r="M146" s="473">
        <v>2200</v>
      </c>
    </row>
    <row r="147" spans="1:14">
      <c r="A147" s="472">
        <v>4</v>
      </c>
      <c r="C147" s="472">
        <f t="shared" si="10"/>
        <v>16</v>
      </c>
      <c r="D147" s="472">
        <f t="shared" si="11"/>
        <v>12</v>
      </c>
      <c r="E147" s="472">
        <f t="shared" si="12"/>
        <v>14</v>
      </c>
      <c r="F147" s="472" t="str">
        <f t="shared" si="14"/>
        <v>pm</v>
      </c>
      <c r="G147" s="472" t="s">
        <v>617</v>
      </c>
      <c r="H147" s="472" t="s">
        <v>397</v>
      </c>
      <c r="I147" s="472" t="s">
        <v>618</v>
      </c>
      <c r="K147" s="473">
        <f t="shared" si="13"/>
        <v>2200</v>
      </c>
      <c r="M147" s="473">
        <v>2200</v>
      </c>
    </row>
    <row r="148" spans="1:14">
      <c r="A148" s="472">
        <v>6</v>
      </c>
      <c r="C148" s="472">
        <f t="shared" si="10"/>
        <v>17</v>
      </c>
      <c r="D148" s="472">
        <f t="shared" si="11"/>
        <v>17</v>
      </c>
      <c r="E148" s="472">
        <f t="shared" si="12"/>
        <v>14</v>
      </c>
      <c r="F148" s="472" t="str">
        <f t="shared" si="14"/>
        <v>pm</v>
      </c>
      <c r="G148" s="472" t="s">
        <v>619</v>
      </c>
      <c r="H148" s="472" t="s">
        <v>421</v>
      </c>
      <c r="I148" s="472" t="s">
        <v>620</v>
      </c>
      <c r="K148" s="473">
        <f t="shared" si="13"/>
        <v>2235.4451064009868</v>
      </c>
      <c r="M148" s="473">
        <v>2200</v>
      </c>
      <c r="N148" s="472">
        <v>2235.4451064009868</v>
      </c>
    </row>
    <row r="149" spans="1:14">
      <c r="A149" s="472">
        <v>5</v>
      </c>
      <c r="C149" s="472">
        <f t="shared" si="10"/>
        <v>18</v>
      </c>
      <c r="D149" s="472">
        <f t="shared" si="11"/>
        <v>18</v>
      </c>
      <c r="E149" s="472">
        <f t="shared" si="12"/>
        <v>14</v>
      </c>
      <c r="F149" s="472" t="str">
        <f t="shared" si="14"/>
        <v>pm</v>
      </c>
      <c r="G149" s="472" t="s">
        <v>621</v>
      </c>
      <c r="H149" s="472" t="s">
        <v>452</v>
      </c>
      <c r="I149" s="472" t="s">
        <v>622</v>
      </c>
      <c r="K149" s="473">
        <f t="shared" si="13"/>
        <v>2158.7277915153195</v>
      </c>
      <c r="M149" s="473">
        <v>2200</v>
      </c>
      <c r="N149" s="472">
        <v>2158.7277915153195</v>
      </c>
    </row>
    <row r="150" spans="1:14">
      <c r="A150" s="472">
        <v>2</v>
      </c>
      <c r="C150" s="472">
        <f t="shared" si="10"/>
        <v>19</v>
      </c>
      <c r="D150" s="472">
        <f t="shared" si="11"/>
        <v>19</v>
      </c>
      <c r="E150" s="472">
        <f t="shared" si="12"/>
        <v>14</v>
      </c>
      <c r="F150" s="472" t="str">
        <f t="shared" si="14"/>
        <v>pm</v>
      </c>
      <c r="G150" s="472" t="s">
        <v>623</v>
      </c>
      <c r="H150" s="472" t="s">
        <v>154</v>
      </c>
      <c r="I150" s="472" t="s">
        <v>624</v>
      </c>
      <c r="K150" s="473">
        <f t="shared" si="13"/>
        <v>2200</v>
      </c>
      <c r="M150" s="473">
        <v>2200</v>
      </c>
    </row>
    <row r="151" spans="1:14">
      <c r="A151" s="472">
        <v>2</v>
      </c>
      <c r="C151" s="472">
        <f t="shared" si="10"/>
        <v>20</v>
      </c>
      <c r="D151" s="472">
        <f t="shared" si="11"/>
        <v>19</v>
      </c>
      <c r="E151" s="472">
        <f t="shared" si="12"/>
        <v>14</v>
      </c>
      <c r="F151" s="472" t="str">
        <f t="shared" si="14"/>
        <v>pm</v>
      </c>
      <c r="G151" s="472" t="s">
        <v>625</v>
      </c>
      <c r="H151" s="472" t="s">
        <v>154</v>
      </c>
      <c r="I151" s="472" t="s">
        <v>626</v>
      </c>
      <c r="K151" s="473">
        <f t="shared" si="13"/>
        <v>2200</v>
      </c>
      <c r="M151" s="473">
        <v>2200</v>
      </c>
    </row>
    <row r="152" spans="1:14">
      <c r="A152" s="472">
        <v>2</v>
      </c>
      <c r="C152" s="472">
        <f t="shared" si="10"/>
        <v>21</v>
      </c>
      <c r="D152" s="472">
        <f t="shared" si="11"/>
        <v>19</v>
      </c>
      <c r="E152" s="472">
        <f t="shared" si="12"/>
        <v>14</v>
      </c>
      <c r="F152" s="472" t="str">
        <f t="shared" si="14"/>
        <v>pm</v>
      </c>
      <c r="G152" s="472" t="s">
        <v>627</v>
      </c>
      <c r="H152" s="472" t="s">
        <v>154</v>
      </c>
      <c r="I152" s="472" t="s">
        <v>628</v>
      </c>
      <c r="K152" s="473">
        <f t="shared" si="13"/>
        <v>2200</v>
      </c>
      <c r="M152" s="473">
        <v>2200</v>
      </c>
    </row>
    <row r="153" spans="1:14">
      <c r="A153" s="472">
        <v>1</v>
      </c>
      <c r="C153" s="472">
        <f t="shared" si="10"/>
        <v>22</v>
      </c>
      <c r="D153" s="472">
        <f t="shared" si="11"/>
        <v>19</v>
      </c>
      <c r="E153" s="472">
        <f t="shared" si="12"/>
        <v>14</v>
      </c>
      <c r="F153" s="472" t="str">
        <f t="shared" si="14"/>
        <v>sox</v>
      </c>
      <c r="G153" s="472" t="s">
        <v>629</v>
      </c>
      <c r="H153" s="472" t="s">
        <v>630</v>
      </c>
      <c r="I153" s="472" t="s">
        <v>631</v>
      </c>
      <c r="K153" s="473">
        <f t="shared" si="13"/>
        <v>2200</v>
      </c>
      <c r="M153" s="473">
        <v>2200</v>
      </c>
    </row>
    <row r="154" spans="1:14">
      <c r="A154" s="472">
        <v>1</v>
      </c>
      <c r="C154" s="472">
        <f t="shared" si="10"/>
        <v>23</v>
      </c>
      <c r="D154" s="472">
        <f t="shared" si="11"/>
        <v>19</v>
      </c>
      <c r="E154" s="472">
        <f t="shared" si="12"/>
        <v>14</v>
      </c>
      <c r="F154" s="472" t="str">
        <f t="shared" si="14"/>
        <v>sox</v>
      </c>
      <c r="G154" s="472" t="s">
        <v>632</v>
      </c>
      <c r="H154" s="472" t="s">
        <v>430</v>
      </c>
      <c r="I154" s="472" t="s">
        <v>633</v>
      </c>
      <c r="K154" s="473">
        <f t="shared" si="13"/>
        <v>2200</v>
      </c>
      <c r="M154" s="473">
        <v>2200</v>
      </c>
    </row>
    <row r="155" spans="1:14">
      <c r="A155" s="472">
        <v>1</v>
      </c>
      <c r="C155" s="472">
        <f t="shared" si="10"/>
        <v>24</v>
      </c>
      <c r="D155" s="472">
        <f t="shared" si="11"/>
        <v>19</v>
      </c>
      <c r="E155" s="472">
        <f t="shared" si="12"/>
        <v>14</v>
      </c>
      <c r="F155" s="472" t="str">
        <f t="shared" si="14"/>
        <v>odx</v>
      </c>
      <c r="G155" s="472" t="s">
        <v>634</v>
      </c>
      <c r="H155" s="472" t="s">
        <v>635</v>
      </c>
      <c r="I155" s="472" t="s">
        <v>636</v>
      </c>
      <c r="K155" s="473">
        <f t="shared" si="13"/>
        <v>2200</v>
      </c>
      <c r="M155" s="473">
        <v>2200</v>
      </c>
    </row>
    <row r="156" spans="1:14">
      <c r="A156" s="472">
        <v>3</v>
      </c>
      <c r="C156" s="472">
        <f t="shared" si="10"/>
        <v>25</v>
      </c>
      <c r="D156" s="472">
        <f t="shared" si="11"/>
        <v>25</v>
      </c>
      <c r="E156" s="472">
        <f t="shared" si="12"/>
        <v>14</v>
      </c>
      <c r="F156" s="472" t="str">
        <f t="shared" si="14"/>
        <v>pm</v>
      </c>
      <c r="G156" s="472" t="s">
        <v>637</v>
      </c>
      <c r="H156" s="472" t="s">
        <v>501</v>
      </c>
      <c r="I156" s="472" t="s">
        <v>638</v>
      </c>
      <c r="K156" s="473">
        <f t="shared" si="13"/>
        <v>2089.6484920282369</v>
      </c>
      <c r="M156" s="473">
        <v>2200</v>
      </c>
      <c r="N156" s="472">
        <v>2089.6484920282369</v>
      </c>
    </row>
    <row r="157" spans="1:14">
      <c r="A157" s="472">
        <v>3</v>
      </c>
      <c r="C157" s="472">
        <f t="shared" si="10"/>
        <v>26</v>
      </c>
      <c r="D157" s="472">
        <f t="shared" si="11"/>
        <v>26</v>
      </c>
      <c r="E157" s="472">
        <f t="shared" si="12"/>
        <v>14</v>
      </c>
      <c r="F157" s="472" t="str">
        <f t="shared" si="14"/>
        <v>pm</v>
      </c>
      <c r="G157" s="472" t="s">
        <v>639</v>
      </c>
      <c r="H157" s="472" t="s">
        <v>408</v>
      </c>
      <c r="I157" s="472" t="s">
        <v>640</v>
      </c>
      <c r="K157" s="473">
        <f t="shared" si="13"/>
        <v>2200</v>
      </c>
      <c r="M157" s="473">
        <v>2200</v>
      </c>
    </row>
    <row r="158" spans="1:14">
      <c r="A158" s="472">
        <v>7</v>
      </c>
      <c r="C158" s="472">
        <f t="shared" si="10"/>
        <v>27</v>
      </c>
      <c r="D158" s="472">
        <f t="shared" si="11"/>
        <v>27</v>
      </c>
      <c r="E158" s="472">
        <f t="shared" si="12"/>
        <v>14</v>
      </c>
      <c r="F158" s="472" t="str">
        <f t="shared" si="14"/>
        <v>pm</v>
      </c>
      <c r="G158" s="472" t="s">
        <v>641</v>
      </c>
      <c r="H158" s="472" t="s">
        <v>411</v>
      </c>
      <c r="I158" s="472" t="s">
        <v>642</v>
      </c>
      <c r="K158" s="473">
        <f t="shared" si="13"/>
        <v>2083.9994997349372</v>
      </c>
      <c r="M158" s="473">
        <v>2200</v>
      </c>
      <c r="N158" s="472">
        <v>2083.9994997349372</v>
      </c>
    </row>
    <row r="159" spans="1:14">
      <c r="A159" s="472">
        <v>4</v>
      </c>
      <c r="C159" s="472">
        <f t="shared" si="10"/>
        <v>28</v>
      </c>
      <c r="D159" s="472">
        <f t="shared" si="11"/>
        <v>28</v>
      </c>
      <c r="E159" s="472">
        <f t="shared" si="12"/>
        <v>14</v>
      </c>
      <c r="F159" s="472" t="str">
        <f t="shared" si="14"/>
        <v>pm</v>
      </c>
      <c r="G159" s="472" t="s">
        <v>643</v>
      </c>
      <c r="H159" s="472" t="s">
        <v>86</v>
      </c>
      <c r="I159" s="472" t="s">
        <v>644</v>
      </c>
      <c r="K159" s="473">
        <f t="shared" si="13"/>
        <v>2200</v>
      </c>
      <c r="M159" s="473">
        <v>2200</v>
      </c>
    </row>
    <row r="160" spans="1:14">
      <c r="A160" s="472">
        <v>1</v>
      </c>
      <c r="C160" s="472">
        <f t="shared" si="10"/>
        <v>29</v>
      </c>
      <c r="D160" s="472">
        <f t="shared" si="11"/>
        <v>28</v>
      </c>
      <c r="E160" s="472">
        <f t="shared" si="12"/>
        <v>14</v>
      </c>
      <c r="F160" s="472" t="str">
        <f t="shared" si="14"/>
        <v>crx</v>
      </c>
      <c r="G160" s="472" t="s">
        <v>645</v>
      </c>
      <c r="H160" s="472" t="s">
        <v>470</v>
      </c>
      <c r="I160" s="472" t="s">
        <v>646</v>
      </c>
      <c r="K160" s="473">
        <f t="shared" si="13"/>
        <v>2200</v>
      </c>
      <c r="M160" s="473">
        <v>2200</v>
      </c>
    </row>
    <row r="161" spans="1:15">
      <c r="A161" s="472">
        <v>1</v>
      </c>
      <c r="C161" s="472">
        <f t="shared" si="10"/>
        <v>30</v>
      </c>
      <c r="D161" s="472">
        <f t="shared" si="11"/>
        <v>28</v>
      </c>
      <c r="E161" s="472">
        <f t="shared" si="12"/>
        <v>14</v>
      </c>
      <c r="F161" s="472" t="str">
        <f t="shared" si="14"/>
        <v>crx</v>
      </c>
      <c r="G161" s="472" t="s">
        <v>647</v>
      </c>
      <c r="H161" s="472" t="s">
        <v>470</v>
      </c>
      <c r="I161" s="472" t="s">
        <v>648</v>
      </c>
      <c r="K161" s="473">
        <f t="shared" si="13"/>
        <v>2200</v>
      </c>
      <c r="M161" s="473">
        <v>2200</v>
      </c>
    </row>
    <row r="162" spans="1:15">
      <c r="A162" s="472">
        <v>1</v>
      </c>
      <c r="C162" s="472">
        <f t="shared" si="10"/>
        <v>31</v>
      </c>
      <c r="D162" s="472">
        <f t="shared" si="11"/>
        <v>28</v>
      </c>
      <c r="E162" s="472">
        <f t="shared" si="12"/>
        <v>14</v>
      </c>
      <c r="F162" s="472" t="str">
        <f t="shared" si="14"/>
        <v>pmx</v>
      </c>
      <c r="G162" s="472" t="s">
        <v>649</v>
      </c>
      <c r="H162" s="472" t="s">
        <v>416</v>
      </c>
      <c r="I162" s="472" t="s">
        <v>650</v>
      </c>
      <c r="K162" s="473">
        <f t="shared" si="13"/>
        <v>2200</v>
      </c>
      <c r="M162" s="473">
        <v>2200</v>
      </c>
    </row>
    <row r="163" spans="1:15">
      <c r="A163" s="472">
        <v>1</v>
      </c>
      <c r="C163" s="472">
        <f t="shared" si="10"/>
        <v>32</v>
      </c>
      <c r="D163" s="472">
        <f t="shared" si="11"/>
        <v>28</v>
      </c>
      <c r="E163" s="472">
        <f t="shared" si="12"/>
        <v>14</v>
      </c>
      <c r="F163" s="472" t="str">
        <f t="shared" si="14"/>
        <v>crx</v>
      </c>
      <c r="G163" s="472" t="s">
        <v>651</v>
      </c>
      <c r="H163" s="472" t="s">
        <v>139</v>
      </c>
      <c r="I163" s="472" t="s">
        <v>652</v>
      </c>
      <c r="K163" s="473">
        <f t="shared" si="13"/>
        <v>2200</v>
      </c>
      <c r="M163" s="473">
        <v>2200</v>
      </c>
    </row>
    <row r="164" spans="1:15">
      <c r="A164" s="472">
        <v>4</v>
      </c>
      <c r="C164" s="472">
        <f t="shared" si="10"/>
        <v>33</v>
      </c>
      <c r="D164" s="472">
        <f t="shared" si="11"/>
        <v>33</v>
      </c>
      <c r="E164" s="472">
        <f t="shared" si="12"/>
        <v>14</v>
      </c>
      <c r="F164" s="472" t="str">
        <f t="shared" si="14"/>
        <v>pm</v>
      </c>
      <c r="G164" s="472" t="s">
        <v>653</v>
      </c>
      <c r="H164" s="472" t="s">
        <v>654</v>
      </c>
      <c r="I164" s="472" t="s">
        <v>655</v>
      </c>
      <c r="K164" s="473">
        <f t="shared" si="13"/>
        <v>2154.4080062376902</v>
      </c>
      <c r="M164" s="473">
        <v>2200</v>
      </c>
      <c r="N164" s="472">
        <v>2154.4080062376902</v>
      </c>
    </row>
    <row r="165" spans="1:15">
      <c r="A165" s="472">
        <v>1</v>
      </c>
      <c r="C165" s="472">
        <f t="shared" si="10"/>
        <v>34</v>
      </c>
      <c r="D165" s="472">
        <f t="shared" si="11"/>
        <v>34</v>
      </c>
      <c r="E165" s="472">
        <f t="shared" si="12"/>
        <v>14</v>
      </c>
      <c r="F165" s="472" t="str">
        <f t="shared" si="14"/>
        <v>pmx</v>
      </c>
      <c r="G165" s="472" t="s">
        <v>656</v>
      </c>
      <c r="H165" s="472" t="s">
        <v>346</v>
      </c>
      <c r="I165" s="472" t="s">
        <v>657</v>
      </c>
      <c r="K165" s="473">
        <f t="shared" si="13"/>
        <v>2200</v>
      </c>
      <c r="M165" s="473">
        <v>2200</v>
      </c>
    </row>
    <row r="166" spans="1:15">
      <c r="A166" s="472">
        <v>3</v>
      </c>
      <c r="C166" s="472">
        <f t="shared" si="10"/>
        <v>35</v>
      </c>
      <c r="D166" s="472">
        <f t="shared" si="11"/>
        <v>34</v>
      </c>
      <c r="E166" s="472">
        <f t="shared" si="12"/>
        <v>14</v>
      </c>
      <c r="F166" s="472" t="str">
        <f t="shared" si="14"/>
        <v>pm</v>
      </c>
      <c r="G166" s="472" t="s">
        <v>658</v>
      </c>
      <c r="H166" s="472" t="s">
        <v>483</v>
      </c>
      <c r="I166" s="472" t="s">
        <v>659</v>
      </c>
      <c r="K166" s="473">
        <f t="shared" si="13"/>
        <v>2200</v>
      </c>
      <c r="M166" s="473">
        <v>2200</v>
      </c>
    </row>
    <row r="167" spans="1:15">
      <c r="A167" s="472">
        <v>4</v>
      </c>
      <c r="C167" s="472">
        <f t="shared" si="10"/>
        <v>36</v>
      </c>
      <c r="D167" s="472">
        <f t="shared" si="11"/>
        <v>36</v>
      </c>
      <c r="E167" s="472">
        <f t="shared" si="12"/>
        <v>14</v>
      </c>
      <c r="F167" s="472" t="str">
        <f t="shared" si="14"/>
        <v>pm</v>
      </c>
      <c r="G167" s="472" t="s">
        <v>660</v>
      </c>
      <c r="H167" s="472" t="s">
        <v>92</v>
      </c>
      <c r="I167" s="472" t="s">
        <v>661</v>
      </c>
      <c r="K167" s="473">
        <f t="shared" si="13"/>
        <v>2150</v>
      </c>
      <c r="M167" s="473">
        <v>2150</v>
      </c>
    </row>
    <row r="168" spans="1:15">
      <c r="A168" s="472">
        <v>6</v>
      </c>
      <c r="C168" s="472">
        <f t="shared" si="10"/>
        <v>37</v>
      </c>
      <c r="D168" s="472">
        <f t="shared" si="11"/>
        <v>37</v>
      </c>
      <c r="E168" s="472">
        <f t="shared" si="12"/>
        <v>14</v>
      </c>
      <c r="F168" s="472" t="str">
        <f t="shared" si="14"/>
        <v>pm</v>
      </c>
      <c r="G168" s="472" t="s">
        <v>662</v>
      </c>
      <c r="H168" s="472" t="s">
        <v>512</v>
      </c>
      <c r="I168" s="472" t="s">
        <v>663</v>
      </c>
      <c r="K168" s="473">
        <f t="shared" si="13"/>
        <v>2016.8195230308613</v>
      </c>
      <c r="M168" s="473">
        <v>2133.3333333333335</v>
      </c>
      <c r="N168" s="472">
        <v>2016.8195230308613</v>
      </c>
    </row>
    <row r="169" spans="1:15">
      <c r="A169" s="472">
        <v>4</v>
      </c>
      <c r="C169" s="472">
        <f t="shared" si="10"/>
        <v>38</v>
      </c>
      <c r="D169" s="472">
        <f t="shared" si="11"/>
        <v>38</v>
      </c>
      <c r="E169" s="472">
        <f t="shared" si="12"/>
        <v>14</v>
      </c>
      <c r="F169" s="472" t="str">
        <f t="shared" si="14"/>
        <v>pm</v>
      </c>
      <c r="G169" s="472" t="s">
        <v>664</v>
      </c>
      <c r="H169" s="472" t="s">
        <v>92</v>
      </c>
      <c r="I169" s="472" t="s">
        <v>665</v>
      </c>
      <c r="K169" s="473">
        <f t="shared" si="13"/>
        <v>2100</v>
      </c>
      <c r="M169" s="473">
        <v>2100</v>
      </c>
    </row>
    <row r="170" spans="1:15">
      <c r="A170" s="472">
        <v>3</v>
      </c>
      <c r="C170" s="472">
        <f t="shared" si="10"/>
        <v>39</v>
      </c>
      <c r="D170" s="472">
        <f t="shared" si="11"/>
        <v>39</v>
      </c>
      <c r="E170" s="472">
        <f t="shared" si="12"/>
        <v>14</v>
      </c>
      <c r="F170" s="472" t="str">
        <f t="shared" si="14"/>
        <v>pm</v>
      </c>
      <c r="G170" s="472" t="s">
        <v>666</v>
      </c>
      <c r="H170" s="472" t="s">
        <v>540</v>
      </c>
      <c r="I170" s="472" t="s">
        <v>667</v>
      </c>
      <c r="K170" s="473">
        <f t="shared" si="13"/>
        <v>2066.6666666666665</v>
      </c>
      <c r="M170" s="473">
        <v>2066.6666666666665</v>
      </c>
    </row>
    <row r="171" spans="1:15">
      <c r="A171" s="472">
        <v>3</v>
      </c>
      <c r="C171" s="472">
        <f t="shared" si="10"/>
        <v>40</v>
      </c>
      <c r="D171" s="472">
        <f t="shared" si="11"/>
        <v>40</v>
      </c>
      <c r="E171" s="472">
        <f t="shared" si="12"/>
        <v>14</v>
      </c>
      <c r="F171" s="472" t="str">
        <f t="shared" si="14"/>
        <v>pm</v>
      </c>
      <c r="G171" s="472" t="s">
        <v>668</v>
      </c>
      <c r="H171" s="472" t="s">
        <v>564</v>
      </c>
      <c r="I171" s="472" t="s">
        <v>669</v>
      </c>
      <c r="K171" s="473">
        <f t="shared" si="13"/>
        <v>2073.7324729018796</v>
      </c>
      <c r="M171" s="473">
        <v>2066.6666666666665</v>
      </c>
      <c r="N171" s="472">
        <v>2073.7324729018796</v>
      </c>
    </row>
    <row r="172" spans="1:15">
      <c r="A172" s="472">
        <v>5</v>
      </c>
      <c r="C172" s="472">
        <f t="shared" si="10"/>
        <v>41</v>
      </c>
      <c r="D172" s="472">
        <f t="shared" si="11"/>
        <v>41</v>
      </c>
      <c r="E172" s="472">
        <f t="shared" si="12"/>
        <v>14</v>
      </c>
      <c r="F172" s="472" t="str">
        <f t="shared" si="14"/>
        <v>pm</v>
      </c>
      <c r="G172" s="472" t="s">
        <v>670</v>
      </c>
      <c r="H172" s="472" t="s">
        <v>671</v>
      </c>
      <c r="I172" s="472" t="s">
        <v>672</v>
      </c>
      <c r="K172" s="473">
        <f t="shared" si="13"/>
        <v>2101.1206501618371</v>
      </c>
      <c r="M172" s="473">
        <v>2040</v>
      </c>
      <c r="O172" s="472">
        <v>2101.1206501618371</v>
      </c>
    </row>
    <row r="173" spans="1:15">
      <c r="A173" s="472">
        <v>5</v>
      </c>
      <c r="C173" s="472">
        <f t="shared" si="10"/>
        <v>42</v>
      </c>
      <c r="D173" s="472">
        <f t="shared" si="11"/>
        <v>42</v>
      </c>
      <c r="E173" s="472">
        <f t="shared" si="12"/>
        <v>14</v>
      </c>
      <c r="F173" s="472" t="str">
        <f t="shared" si="14"/>
        <v>pm</v>
      </c>
      <c r="G173" s="472" t="s">
        <v>673</v>
      </c>
      <c r="H173" s="472" t="s">
        <v>337</v>
      </c>
      <c r="I173" s="472" t="s">
        <v>674</v>
      </c>
      <c r="K173" s="473">
        <f t="shared" si="13"/>
        <v>1886.14355440141</v>
      </c>
      <c r="M173" s="473">
        <v>1960</v>
      </c>
      <c r="O173" s="472">
        <v>1886.14355440141</v>
      </c>
    </row>
    <row r="174" spans="1:15">
      <c r="A174" s="472">
        <v>4</v>
      </c>
      <c r="C174" s="472">
        <f t="shared" si="10"/>
        <v>43</v>
      </c>
      <c r="D174" s="472">
        <f t="shared" si="11"/>
        <v>43</v>
      </c>
      <c r="E174" s="472">
        <f t="shared" si="12"/>
        <v>14</v>
      </c>
      <c r="F174" s="472" t="str">
        <f t="shared" si="14"/>
        <v>pm</v>
      </c>
      <c r="G174" s="472" t="s">
        <v>675</v>
      </c>
      <c r="H174" s="472" t="s">
        <v>676</v>
      </c>
      <c r="I174" s="472" t="s">
        <v>677</v>
      </c>
      <c r="K174" s="473">
        <f t="shared" si="13"/>
        <v>1775.3296572886447</v>
      </c>
      <c r="M174" s="473">
        <v>1900</v>
      </c>
      <c r="O174" s="472">
        <v>1775.3296572886447</v>
      </c>
    </row>
    <row r="175" spans="1:15">
      <c r="A175" s="472">
        <v>4</v>
      </c>
      <c r="C175" s="472">
        <f t="shared" si="10"/>
        <v>44</v>
      </c>
      <c r="D175" s="472">
        <f t="shared" si="11"/>
        <v>44</v>
      </c>
      <c r="E175" s="472">
        <f t="shared" si="12"/>
        <v>14</v>
      </c>
      <c r="F175" s="472" t="str">
        <f t="shared" si="14"/>
        <v>pm</v>
      </c>
      <c r="G175" s="472" t="s">
        <v>678</v>
      </c>
      <c r="H175" s="472" t="s">
        <v>654</v>
      </c>
      <c r="I175" s="472" t="s">
        <v>679</v>
      </c>
      <c r="K175" s="473">
        <f t="shared" si="13"/>
        <v>1765.044575923863</v>
      </c>
      <c r="M175" s="473">
        <v>1900</v>
      </c>
      <c r="O175" s="472">
        <v>1765.044575923863</v>
      </c>
    </row>
    <row r="176" spans="1:15">
      <c r="A176" s="472">
        <v>5</v>
      </c>
      <c r="C176" s="472">
        <f t="shared" si="10"/>
        <v>45</v>
      </c>
      <c r="D176" s="472">
        <f t="shared" si="11"/>
        <v>45</v>
      </c>
      <c r="E176" s="472">
        <f t="shared" si="12"/>
        <v>14</v>
      </c>
      <c r="F176" s="472" t="str">
        <f t="shared" si="14"/>
        <v>pm</v>
      </c>
      <c r="G176" s="472" t="s">
        <v>680</v>
      </c>
      <c r="H176" s="472" t="s">
        <v>671</v>
      </c>
      <c r="I176" s="472" t="s">
        <v>681</v>
      </c>
      <c r="K176" s="473">
        <f t="shared" si="13"/>
        <v>1878.0109264586404</v>
      </c>
      <c r="M176" s="473">
        <v>1800</v>
      </c>
      <c r="O176" s="472">
        <v>1878.0109264586404</v>
      </c>
    </row>
    <row r="177" spans="1:15">
      <c r="A177" s="472">
        <v>3</v>
      </c>
      <c r="C177" s="472">
        <f t="shared" si="10"/>
        <v>46</v>
      </c>
      <c r="D177" s="472">
        <f t="shared" si="11"/>
        <v>46</v>
      </c>
      <c r="E177" s="472">
        <f t="shared" si="12"/>
        <v>14</v>
      </c>
      <c r="F177" s="472" t="str">
        <f t="shared" si="14"/>
        <v>cr</v>
      </c>
      <c r="G177" s="472" t="s">
        <v>682</v>
      </c>
      <c r="H177" s="472" t="s">
        <v>340</v>
      </c>
      <c r="I177" s="472" t="s">
        <v>683</v>
      </c>
      <c r="K177" s="473">
        <f t="shared" si="13"/>
        <v>1800</v>
      </c>
      <c r="M177" s="473">
        <v>1800</v>
      </c>
    </row>
    <row r="178" spans="1:15">
      <c r="A178" s="472">
        <v>3</v>
      </c>
      <c r="C178" s="472">
        <f t="shared" si="10"/>
        <v>47</v>
      </c>
      <c r="D178" s="472">
        <f t="shared" si="11"/>
        <v>46</v>
      </c>
      <c r="E178" s="472">
        <f t="shared" si="12"/>
        <v>14</v>
      </c>
      <c r="F178" s="472" t="str">
        <f t="shared" si="14"/>
        <v>cr</v>
      </c>
      <c r="G178" s="472" t="s">
        <v>684</v>
      </c>
      <c r="H178" s="472" t="s">
        <v>340</v>
      </c>
      <c r="I178" s="472" t="s">
        <v>685</v>
      </c>
      <c r="K178" s="473">
        <f t="shared" si="13"/>
        <v>1800</v>
      </c>
      <c r="M178" s="473">
        <v>1800</v>
      </c>
    </row>
    <row r="179" spans="1:15">
      <c r="A179" s="472">
        <v>5</v>
      </c>
      <c r="C179" s="472">
        <f t="shared" si="10"/>
        <v>48</v>
      </c>
      <c r="D179" s="472">
        <f t="shared" si="11"/>
        <v>48</v>
      </c>
      <c r="E179" s="472">
        <f t="shared" si="12"/>
        <v>14</v>
      </c>
      <c r="F179" s="472" t="str">
        <f t="shared" si="14"/>
        <v>pm</v>
      </c>
      <c r="G179" s="472" t="s">
        <v>686</v>
      </c>
      <c r="H179" s="472" t="s">
        <v>687</v>
      </c>
      <c r="I179" s="472" t="s">
        <v>688</v>
      </c>
      <c r="K179" s="473">
        <f t="shared" si="13"/>
        <v>1721.0193954660247</v>
      </c>
      <c r="M179" s="473">
        <v>1800</v>
      </c>
      <c r="O179" s="472">
        <v>1721.0193954660247</v>
      </c>
    </row>
    <row r="180" spans="1:15">
      <c r="A180" s="472">
        <v>1</v>
      </c>
      <c r="C180" s="472">
        <f t="shared" si="10"/>
        <v>49</v>
      </c>
      <c r="D180" s="472">
        <f t="shared" si="11"/>
        <v>49</v>
      </c>
      <c r="E180" s="472">
        <f t="shared" si="12"/>
        <v>14</v>
      </c>
      <c r="F180" s="472" t="str">
        <f t="shared" si="14"/>
        <v>pmx</v>
      </c>
      <c r="G180" s="472" t="s">
        <v>689</v>
      </c>
      <c r="H180" s="472" t="s">
        <v>343</v>
      </c>
      <c r="I180" s="472" t="s">
        <v>690</v>
      </c>
      <c r="K180" s="473">
        <f t="shared" si="13"/>
        <v>1807.2359598554788</v>
      </c>
      <c r="M180" s="473">
        <v>1800</v>
      </c>
      <c r="O180" s="472">
        <v>1807.2359598554788</v>
      </c>
    </row>
    <row r="181" spans="1:15">
      <c r="A181" s="472">
        <v>4</v>
      </c>
      <c r="C181" s="472">
        <f t="shared" si="10"/>
        <v>50</v>
      </c>
      <c r="D181" s="472">
        <f t="shared" si="11"/>
        <v>50</v>
      </c>
      <c r="E181" s="472">
        <f t="shared" si="12"/>
        <v>14</v>
      </c>
      <c r="F181" s="472" t="str">
        <f t="shared" si="14"/>
        <v>pm</v>
      </c>
      <c r="G181" s="472" t="s">
        <v>691</v>
      </c>
      <c r="H181" s="472" t="s">
        <v>370</v>
      </c>
      <c r="I181" s="472" t="s">
        <v>692</v>
      </c>
      <c r="K181" s="473">
        <f t="shared" si="13"/>
        <v>1831.2865495431645</v>
      </c>
      <c r="M181" s="473">
        <v>1800</v>
      </c>
      <c r="O181" s="472">
        <v>1831.2865495431645</v>
      </c>
    </row>
    <row r="182" spans="1:15">
      <c r="A182" s="472">
        <v>1</v>
      </c>
      <c r="C182" s="472">
        <f t="shared" si="10"/>
        <v>51</v>
      </c>
      <c r="D182" s="472">
        <f t="shared" si="11"/>
        <v>51</v>
      </c>
      <c r="E182" s="472">
        <f t="shared" si="12"/>
        <v>14</v>
      </c>
      <c r="F182" s="472" t="str">
        <f t="shared" si="14"/>
        <v>crx</v>
      </c>
      <c r="G182" s="472" t="s">
        <v>693</v>
      </c>
      <c r="H182" s="472" t="s">
        <v>694</v>
      </c>
      <c r="I182" s="472" t="s">
        <v>695</v>
      </c>
      <c r="K182" s="473">
        <f t="shared" si="13"/>
        <v>1800</v>
      </c>
      <c r="M182" s="473">
        <v>1800</v>
      </c>
    </row>
    <row r="183" spans="1:15">
      <c r="A183" s="472">
        <v>3</v>
      </c>
      <c r="C183" s="472">
        <f t="shared" si="10"/>
        <v>52</v>
      </c>
      <c r="D183" s="472">
        <f t="shared" si="11"/>
        <v>52</v>
      </c>
      <c r="E183" s="472">
        <f t="shared" si="12"/>
        <v>14</v>
      </c>
      <c r="F183" s="472" t="str">
        <f t="shared" si="14"/>
        <v>pm</v>
      </c>
      <c r="G183" s="472" t="s">
        <v>696</v>
      </c>
      <c r="H183" s="472" t="s">
        <v>331</v>
      </c>
      <c r="I183" s="472" t="s">
        <v>697</v>
      </c>
      <c r="K183" s="473">
        <f t="shared" si="13"/>
        <v>1885.5426436017462</v>
      </c>
      <c r="M183" s="473">
        <v>1800</v>
      </c>
      <c r="O183" s="472">
        <v>1885.5426436017462</v>
      </c>
    </row>
    <row r="184" spans="1:15">
      <c r="A184" s="472">
        <v>3</v>
      </c>
      <c r="C184" s="472">
        <f t="shared" si="10"/>
        <v>53</v>
      </c>
      <c r="D184" s="472">
        <f t="shared" si="11"/>
        <v>53</v>
      </c>
      <c r="E184" s="472">
        <f t="shared" si="12"/>
        <v>14</v>
      </c>
      <c r="F184" s="472" t="str">
        <f t="shared" si="14"/>
        <v>pm</v>
      </c>
      <c r="G184" s="472" t="s">
        <v>698</v>
      </c>
      <c r="H184" s="472" t="s">
        <v>331</v>
      </c>
      <c r="I184" s="472" t="s">
        <v>699</v>
      </c>
      <c r="K184" s="473">
        <f t="shared" si="13"/>
        <v>1895.9189920873694</v>
      </c>
      <c r="M184" s="473">
        <v>1800</v>
      </c>
      <c r="O184" s="472">
        <v>1895.9189920873694</v>
      </c>
    </row>
    <row r="185" spans="1:15">
      <c r="A185" s="472">
        <v>3</v>
      </c>
      <c r="C185" s="472">
        <f t="shared" si="10"/>
        <v>54</v>
      </c>
      <c r="D185" s="472">
        <f t="shared" si="11"/>
        <v>54</v>
      </c>
      <c r="E185" s="472">
        <f t="shared" si="12"/>
        <v>14</v>
      </c>
      <c r="F185" s="472" t="str">
        <f t="shared" si="14"/>
        <v>pm</v>
      </c>
      <c r="G185" s="472" t="s">
        <v>700</v>
      </c>
      <c r="H185" s="472" t="s">
        <v>331</v>
      </c>
      <c r="I185" s="472" t="s">
        <v>701</v>
      </c>
      <c r="K185" s="473">
        <f t="shared" si="13"/>
        <v>1794.4809701688885</v>
      </c>
      <c r="M185" s="473">
        <v>1800</v>
      </c>
      <c r="O185" s="472">
        <v>1794.4809701688885</v>
      </c>
    </row>
    <row r="186" spans="1:15">
      <c r="A186" s="472">
        <v>3</v>
      </c>
      <c r="C186" s="472">
        <f t="shared" si="10"/>
        <v>55</v>
      </c>
      <c r="D186" s="472">
        <f t="shared" si="11"/>
        <v>55</v>
      </c>
      <c r="E186" s="472">
        <f t="shared" si="12"/>
        <v>14</v>
      </c>
      <c r="F186" s="472" t="str">
        <f t="shared" si="14"/>
        <v>pm</v>
      </c>
      <c r="G186" s="472" t="s">
        <v>702</v>
      </c>
      <c r="H186" s="472" t="s">
        <v>331</v>
      </c>
      <c r="I186" s="472" t="s">
        <v>703</v>
      </c>
      <c r="K186" s="473">
        <f t="shared" si="13"/>
        <v>1800</v>
      </c>
      <c r="M186" s="473">
        <v>1800</v>
      </c>
    </row>
    <row r="187" spans="1:15">
      <c r="A187" s="472">
        <v>6</v>
      </c>
      <c r="C187" s="472">
        <f t="shared" si="10"/>
        <v>56</v>
      </c>
      <c r="D187" s="472">
        <f t="shared" si="11"/>
        <v>56</v>
      </c>
      <c r="E187" s="472">
        <f t="shared" si="12"/>
        <v>14</v>
      </c>
      <c r="F187" s="472" t="str">
        <f t="shared" si="14"/>
        <v>pm</v>
      </c>
      <c r="G187" s="472" t="s">
        <v>704</v>
      </c>
      <c r="H187" s="472" t="s">
        <v>386</v>
      </c>
      <c r="I187" s="472" t="s">
        <v>705</v>
      </c>
      <c r="K187" s="473">
        <f t="shared" si="13"/>
        <v>1829.1348721235647</v>
      </c>
      <c r="M187" s="473">
        <v>1800</v>
      </c>
      <c r="O187" s="472">
        <v>1829.1348721235647</v>
      </c>
    </row>
    <row r="188" spans="1:15">
      <c r="A188" s="472">
        <v>1</v>
      </c>
      <c r="C188" s="472">
        <f t="shared" si="10"/>
        <v>57</v>
      </c>
      <c r="D188" s="472">
        <f t="shared" si="11"/>
        <v>57</v>
      </c>
      <c r="E188" s="472">
        <f t="shared" si="12"/>
        <v>14</v>
      </c>
      <c r="F188" s="472" t="str">
        <f t="shared" si="14"/>
        <v>sox</v>
      </c>
      <c r="G188" s="472" t="s">
        <v>706</v>
      </c>
      <c r="H188" s="472" t="s">
        <v>529</v>
      </c>
      <c r="I188" s="472" t="s">
        <v>707</v>
      </c>
      <c r="K188" s="473">
        <f t="shared" si="13"/>
        <v>1800</v>
      </c>
      <c r="M188" s="473">
        <v>1800</v>
      </c>
    </row>
    <row r="189" spans="1:15">
      <c r="A189" s="472">
        <v>2</v>
      </c>
      <c r="C189" s="472">
        <f t="shared" si="10"/>
        <v>58</v>
      </c>
      <c r="D189" s="472">
        <f t="shared" si="11"/>
        <v>57</v>
      </c>
      <c r="E189" s="472">
        <f t="shared" si="12"/>
        <v>14</v>
      </c>
      <c r="F189" s="472" t="str">
        <f t="shared" si="14"/>
        <v>so</v>
      </c>
      <c r="G189" s="472" t="s">
        <v>708</v>
      </c>
      <c r="H189" s="472" t="s">
        <v>529</v>
      </c>
      <c r="I189" s="472" t="s">
        <v>709</v>
      </c>
      <c r="K189" s="473">
        <f t="shared" si="13"/>
        <v>1800</v>
      </c>
      <c r="M189" s="473">
        <v>1800</v>
      </c>
    </row>
    <row r="190" spans="1:15">
      <c r="A190" s="472">
        <v>5</v>
      </c>
      <c r="C190" s="472">
        <f t="shared" si="10"/>
        <v>59</v>
      </c>
      <c r="D190" s="472">
        <f t="shared" si="11"/>
        <v>59</v>
      </c>
      <c r="E190" s="472">
        <f t="shared" si="12"/>
        <v>14</v>
      </c>
      <c r="F190" s="472" t="str">
        <f t="shared" si="14"/>
        <v>pm</v>
      </c>
      <c r="G190" s="472" t="s">
        <v>710</v>
      </c>
      <c r="H190" s="472" t="s">
        <v>301</v>
      </c>
      <c r="I190" s="472" t="s">
        <v>711</v>
      </c>
      <c r="K190" s="473">
        <f t="shared" si="13"/>
        <v>1911.387679095757</v>
      </c>
      <c r="M190" s="473">
        <v>1800</v>
      </c>
      <c r="O190" s="472">
        <v>1911.387679095757</v>
      </c>
    </row>
    <row r="191" spans="1:15">
      <c r="A191" s="472">
        <v>2</v>
      </c>
      <c r="C191" s="472">
        <f t="shared" si="10"/>
        <v>60</v>
      </c>
      <c r="D191" s="472">
        <f t="shared" si="11"/>
        <v>60</v>
      </c>
      <c r="E191" s="472">
        <f t="shared" si="12"/>
        <v>14</v>
      </c>
      <c r="F191" s="472" t="str">
        <f t="shared" si="14"/>
        <v>pm</v>
      </c>
      <c r="G191" s="472" t="s">
        <v>712</v>
      </c>
      <c r="H191" s="472" t="s">
        <v>92</v>
      </c>
      <c r="I191" s="472" t="s">
        <v>713</v>
      </c>
      <c r="K191" s="473">
        <f t="shared" si="13"/>
        <v>1800</v>
      </c>
      <c r="M191" s="473">
        <v>1800</v>
      </c>
    </row>
    <row r="192" spans="1:15">
      <c r="A192" s="472">
        <v>4</v>
      </c>
      <c r="C192" s="472">
        <f t="shared" si="10"/>
        <v>61</v>
      </c>
      <c r="D192" s="472">
        <f t="shared" si="11"/>
        <v>60</v>
      </c>
      <c r="E192" s="472">
        <f t="shared" si="12"/>
        <v>14</v>
      </c>
      <c r="F192" s="472" t="str">
        <f t="shared" si="14"/>
        <v>pm</v>
      </c>
      <c r="G192" s="472" t="s">
        <v>714</v>
      </c>
      <c r="H192" s="472" t="s">
        <v>397</v>
      </c>
      <c r="I192" s="472" t="s">
        <v>715</v>
      </c>
      <c r="K192" s="473">
        <f t="shared" si="13"/>
        <v>1800</v>
      </c>
      <c r="M192" s="473">
        <v>1800</v>
      </c>
    </row>
    <row r="193" spans="1:15">
      <c r="A193" s="472">
        <v>6</v>
      </c>
      <c r="C193" s="472">
        <f t="shared" si="10"/>
        <v>62</v>
      </c>
      <c r="D193" s="472">
        <f t="shared" si="11"/>
        <v>62</v>
      </c>
      <c r="E193" s="472">
        <f t="shared" si="12"/>
        <v>14</v>
      </c>
      <c r="F193" s="472" t="str">
        <f t="shared" si="14"/>
        <v>pm</v>
      </c>
      <c r="G193" s="472" t="s">
        <v>716</v>
      </c>
      <c r="H193" s="472" t="s">
        <v>421</v>
      </c>
      <c r="I193" s="472" t="s">
        <v>717</v>
      </c>
      <c r="K193" s="473">
        <f t="shared" si="13"/>
        <v>1779.8327634610339</v>
      </c>
      <c r="M193" s="473">
        <v>1800</v>
      </c>
      <c r="O193" s="472">
        <v>1779.8327634610339</v>
      </c>
    </row>
    <row r="194" spans="1:15">
      <c r="A194" s="472">
        <v>2</v>
      </c>
      <c r="C194" s="472">
        <f t="shared" ref="C194:C257" si="15">IF(E194=E193,C193+1,1)</f>
        <v>63</v>
      </c>
      <c r="D194" s="472">
        <f t="shared" ref="D194:D257" si="16">IF(K194=K193,D193,C194)</f>
        <v>63</v>
      </c>
      <c r="E194" s="472">
        <f t="shared" ref="E194:E257" si="17">10+VALUE(RIGHT(LEFT(G194,3),1))</f>
        <v>14</v>
      </c>
      <c r="F194" s="472" t="str">
        <f t="shared" si="14"/>
        <v>cr</v>
      </c>
      <c r="G194" s="472" t="s">
        <v>718</v>
      </c>
      <c r="H194" s="472" t="s">
        <v>405</v>
      </c>
      <c r="I194" s="472" t="s">
        <v>719</v>
      </c>
      <c r="K194" s="473">
        <f t="shared" ref="K194:K257" si="18">LOOKUP(1E+100,M194:AC194)</f>
        <v>1800</v>
      </c>
      <c r="M194" s="473">
        <v>1800</v>
      </c>
    </row>
    <row r="195" spans="1:15">
      <c r="A195" s="472">
        <v>2</v>
      </c>
      <c r="C195" s="472">
        <f t="shared" si="15"/>
        <v>64</v>
      </c>
      <c r="D195" s="472">
        <f t="shared" si="16"/>
        <v>63</v>
      </c>
      <c r="E195" s="472">
        <f t="shared" si="17"/>
        <v>14</v>
      </c>
      <c r="F195" s="472" t="str">
        <f t="shared" ref="F195:F258" si="19">RIGHT(G195,2) &amp; IF(A195&lt;2,"x","")</f>
        <v>pm</v>
      </c>
      <c r="G195" s="472" t="s">
        <v>720</v>
      </c>
      <c r="H195" s="472" t="s">
        <v>154</v>
      </c>
      <c r="I195" s="472" t="s">
        <v>721</v>
      </c>
      <c r="K195" s="473">
        <f t="shared" si="18"/>
        <v>1800</v>
      </c>
      <c r="M195" s="473">
        <v>1800</v>
      </c>
    </row>
    <row r="196" spans="1:15">
      <c r="A196" s="472">
        <v>2</v>
      </c>
      <c r="C196" s="472">
        <f t="shared" si="15"/>
        <v>65</v>
      </c>
      <c r="D196" s="472">
        <f t="shared" si="16"/>
        <v>63</v>
      </c>
      <c r="E196" s="472">
        <f t="shared" si="17"/>
        <v>14</v>
      </c>
      <c r="F196" s="472" t="str">
        <f t="shared" si="19"/>
        <v>pm</v>
      </c>
      <c r="G196" s="472" t="s">
        <v>722</v>
      </c>
      <c r="H196" s="472" t="s">
        <v>154</v>
      </c>
      <c r="I196" s="472" t="s">
        <v>723</v>
      </c>
      <c r="K196" s="473">
        <f t="shared" si="18"/>
        <v>1800</v>
      </c>
      <c r="M196" s="473">
        <v>1800</v>
      </c>
    </row>
    <row r="197" spans="1:15">
      <c r="A197" s="472">
        <v>2</v>
      </c>
      <c r="C197" s="472">
        <f t="shared" si="15"/>
        <v>66</v>
      </c>
      <c r="D197" s="472">
        <f t="shared" si="16"/>
        <v>63</v>
      </c>
      <c r="E197" s="472">
        <f t="shared" si="17"/>
        <v>14</v>
      </c>
      <c r="F197" s="472" t="str">
        <f t="shared" si="19"/>
        <v>pm</v>
      </c>
      <c r="G197" s="472" t="s">
        <v>724</v>
      </c>
      <c r="H197" s="472" t="s">
        <v>154</v>
      </c>
      <c r="I197" s="472" t="s">
        <v>725</v>
      </c>
      <c r="K197" s="473">
        <f t="shared" si="18"/>
        <v>1800</v>
      </c>
      <c r="M197" s="473">
        <v>1800</v>
      </c>
    </row>
    <row r="198" spans="1:15">
      <c r="A198" s="472">
        <v>2</v>
      </c>
      <c r="C198" s="472">
        <f t="shared" si="15"/>
        <v>67</v>
      </c>
      <c r="D198" s="472">
        <f t="shared" si="16"/>
        <v>63</v>
      </c>
      <c r="E198" s="472">
        <f t="shared" si="17"/>
        <v>14</v>
      </c>
      <c r="F198" s="472" t="str">
        <f t="shared" si="19"/>
        <v>pm</v>
      </c>
      <c r="G198" s="472" t="s">
        <v>726</v>
      </c>
      <c r="H198" s="472" t="s">
        <v>154</v>
      </c>
      <c r="I198" s="472" t="s">
        <v>727</v>
      </c>
      <c r="K198" s="473">
        <f t="shared" si="18"/>
        <v>1800</v>
      </c>
      <c r="M198" s="473">
        <v>1800</v>
      </c>
    </row>
    <row r="199" spans="1:15">
      <c r="A199" s="472">
        <v>2</v>
      </c>
      <c r="C199" s="472">
        <f t="shared" si="15"/>
        <v>68</v>
      </c>
      <c r="D199" s="472">
        <f t="shared" si="16"/>
        <v>63</v>
      </c>
      <c r="E199" s="472">
        <f t="shared" si="17"/>
        <v>14</v>
      </c>
      <c r="F199" s="472" t="str">
        <f t="shared" si="19"/>
        <v>pm</v>
      </c>
      <c r="G199" s="472" t="s">
        <v>728</v>
      </c>
      <c r="H199" s="472" t="s">
        <v>154</v>
      </c>
      <c r="I199" s="472" t="s">
        <v>729</v>
      </c>
      <c r="K199" s="473">
        <f t="shared" si="18"/>
        <v>1800</v>
      </c>
      <c r="M199" s="473">
        <v>1800</v>
      </c>
    </row>
    <row r="200" spans="1:15">
      <c r="A200" s="472">
        <v>2</v>
      </c>
      <c r="C200" s="472">
        <f t="shared" si="15"/>
        <v>69</v>
      </c>
      <c r="D200" s="472">
        <f t="shared" si="16"/>
        <v>63</v>
      </c>
      <c r="E200" s="472">
        <f t="shared" si="17"/>
        <v>14</v>
      </c>
      <c r="F200" s="472" t="str">
        <f t="shared" si="19"/>
        <v>pm</v>
      </c>
      <c r="G200" s="472" t="s">
        <v>730</v>
      </c>
      <c r="H200" s="472" t="s">
        <v>154</v>
      </c>
      <c r="I200" s="472" t="s">
        <v>731</v>
      </c>
      <c r="K200" s="473">
        <f t="shared" si="18"/>
        <v>1800</v>
      </c>
      <c r="M200" s="473">
        <v>1800</v>
      </c>
    </row>
    <row r="201" spans="1:15">
      <c r="A201" s="472">
        <v>3</v>
      </c>
      <c r="C201" s="472">
        <f t="shared" si="15"/>
        <v>70</v>
      </c>
      <c r="D201" s="472">
        <f t="shared" si="16"/>
        <v>70</v>
      </c>
      <c r="E201" s="472">
        <f t="shared" si="17"/>
        <v>14</v>
      </c>
      <c r="F201" s="472" t="str">
        <f t="shared" si="19"/>
        <v>pm</v>
      </c>
      <c r="G201" s="472" t="s">
        <v>732</v>
      </c>
      <c r="H201" s="472" t="s">
        <v>676</v>
      </c>
      <c r="I201" s="472" t="s">
        <v>733</v>
      </c>
      <c r="K201" s="473">
        <f t="shared" si="18"/>
        <v>1756.3397787944268</v>
      </c>
      <c r="M201" s="473">
        <v>1800</v>
      </c>
      <c r="O201" s="472">
        <v>1756.3397787944268</v>
      </c>
    </row>
    <row r="202" spans="1:15">
      <c r="A202" s="472">
        <v>1</v>
      </c>
      <c r="C202" s="472">
        <f t="shared" si="15"/>
        <v>71</v>
      </c>
      <c r="D202" s="472">
        <f t="shared" si="16"/>
        <v>71</v>
      </c>
      <c r="E202" s="472">
        <f t="shared" si="17"/>
        <v>14</v>
      </c>
      <c r="F202" s="472" t="str">
        <f t="shared" si="19"/>
        <v>sox</v>
      </c>
      <c r="G202" s="472" t="s">
        <v>734</v>
      </c>
      <c r="H202" s="472" t="s">
        <v>430</v>
      </c>
      <c r="I202" s="472" t="s">
        <v>735</v>
      </c>
      <c r="K202" s="473">
        <f t="shared" si="18"/>
        <v>1800</v>
      </c>
      <c r="M202" s="473">
        <v>1800</v>
      </c>
    </row>
    <row r="203" spans="1:15">
      <c r="A203" s="472">
        <v>4</v>
      </c>
      <c r="C203" s="472">
        <f t="shared" si="15"/>
        <v>72</v>
      </c>
      <c r="D203" s="472">
        <f t="shared" si="16"/>
        <v>72</v>
      </c>
      <c r="E203" s="472">
        <f t="shared" si="17"/>
        <v>14</v>
      </c>
      <c r="F203" s="472" t="str">
        <f t="shared" si="19"/>
        <v>pm</v>
      </c>
      <c r="G203" s="472" t="s">
        <v>736</v>
      </c>
      <c r="H203" s="472" t="s">
        <v>408</v>
      </c>
      <c r="I203" s="472" t="s">
        <v>737</v>
      </c>
      <c r="K203" s="473">
        <f t="shared" si="18"/>
        <v>1783.7603772733682</v>
      </c>
      <c r="M203" s="473">
        <v>1800</v>
      </c>
      <c r="O203" s="472">
        <v>1783.7603772733682</v>
      </c>
    </row>
    <row r="204" spans="1:15">
      <c r="A204" s="472">
        <v>7</v>
      </c>
      <c r="C204" s="472">
        <f t="shared" si="15"/>
        <v>73</v>
      </c>
      <c r="D204" s="472">
        <f t="shared" si="16"/>
        <v>73</v>
      </c>
      <c r="E204" s="472">
        <f t="shared" si="17"/>
        <v>14</v>
      </c>
      <c r="F204" s="472" t="str">
        <f t="shared" si="19"/>
        <v>pm</v>
      </c>
      <c r="G204" s="472" t="s">
        <v>738</v>
      </c>
      <c r="H204" s="472" t="s">
        <v>411</v>
      </c>
      <c r="I204" s="472" t="s">
        <v>739</v>
      </c>
      <c r="K204" s="473">
        <f t="shared" si="18"/>
        <v>1721.532188883278</v>
      </c>
      <c r="M204" s="473">
        <v>1800</v>
      </c>
      <c r="O204" s="472">
        <v>1721.532188883278</v>
      </c>
    </row>
    <row r="205" spans="1:15">
      <c r="A205" s="472">
        <v>5</v>
      </c>
      <c r="C205" s="472">
        <f t="shared" si="15"/>
        <v>74</v>
      </c>
      <c r="D205" s="472">
        <f t="shared" si="16"/>
        <v>74</v>
      </c>
      <c r="E205" s="472">
        <f t="shared" si="17"/>
        <v>14</v>
      </c>
      <c r="F205" s="472" t="str">
        <f t="shared" si="19"/>
        <v>pm</v>
      </c>
      <c r="G205" s="472" t="s">
        <v>740</v>
      </c>
      <c r="H205" s="472" t="s">
        <v>86</v>
      </c>
      <c r="I205" s="472" t="s">
        <v>741</v>
      </c>
      <c r="K205" s="473">
        <f t="shared" si="18"/>
        <v>1800</v>
      </c>
      <c r="M205" s="473">
        <v>1800</v>
      </c>
    </row>
    <row r="206" spans="1:15">
      <c r="A206" s="472">
        <v>5</v>
      </c>
      <c r="C206" s="472">
        <f t="shared" si="15"/>
        <v>75</v>
      </c>
      <c r="D206" s="472">
        <f t="shared" si="16"/>
        <v>74</v>
      </c>
      <c r="E206" s="472">
        <f t="shared" si="17"/>
        <v>14</v>
      </c>
      <c r="F206" s="472" t="str">
        <f t="shared" si="19"/>
        <v>pm</v>
      </c>
      <c r="G206" s="472" t="s">
        <v>742</v>
      </c>
      <c r="H206" s="472" t="s">
        <v>86</v>
      </c>
      <c r="I206" s="472" t="s">
        <v>743</v>
      </c>
      <c r="K206" s="473">
        <f t="shared" si="18"/>
        <v>1800</v>
      </c>
      <c r="M206" s="473">
        <v>1800</v>
      </c>
    </row>
    <row r="207" spans="1:15">
      <c r="A207" s="472">
        <v>1</v>
      </c>
      <c r="C207" s="472">
        <f t="shared" si="15"/>
        <v>76</v>
      </c>
      <c r="D207" s="472">
        <f t="shared" si="16"/>
        <v>74</v>
      </c>
      <c r="E207" s="472">
        <f t="shared" si="17"/>
        <v>14</v>
      </c>
      <c r="F207" s="472" t="str">
        <f t="shared" si="19"/>
        <v>crx</v>
      </c>
      <c r="G207" s="472" t="s">
        <v>744</v>
      </c>
      <c r="H207" s="472" t="s">
        <v>745</v>
      </c>
      <c r="I207" s="472" t="s">
        <v>745</v>
      </c>
      <c r="K207" s="473">
        <f t="shared" si="18"/>
        <v>1800</v>
      </c>
      <c r="M207" s="473">
        <v>1800</v>
      </c>
    </row>
    <row r="208" spans="1:15">
      <c r="A208" s="472">
        <v>1</v>
      </c>
      <c r="C208" s="472">
        <f t="shared" si="15"/>
        <v>77</v>
      </c>
      <c r="D208" s="472">
        <f t="shared" si="16"/>
        <v>74</v>
      </c>
      <c r="E208" s="472">
        <f t="shared" si="17"/>
        <v>14</v>
      </c>
      <c r="F208" s="472" t="str">
        <f t="shared" si="19"/>
        <v>crx</v>
      </c>
      <c r="G208" s="472" t="s">
        <v>746</v>
      </c>
      <c r="H208" s="472" t="s">
        <v>747</v>
      </c>
      <c r="I208" s="472" t="s">
        <v>748</v>
      </c>
      <c r="K208" s="473">
        <f t="shared" si="18"/>
        <v>1800</v>
      </c>
      <c r="M208" s="473">
        <v>1800</v>
      </c>
    </row>
    <row r="209" spans="1:15">
      <c r="A209" s="472">
        <v>1</v>
      </c>
      <c r="C209" s="472">
        <f t="shared" si="15"/>
        <v>78</v>
      </c>
      <c r="D209" s="472">
        <f t="shared" si="16"/>
        <v>74</v>
      </c>
      <c r="E209" s="472">
        <f t="shared" si="17"/>
        <v>14</v>
      </c>
      <c r="F209" s="472" t="str">
        <f t="shared" si="19"/>
        <v>pmx</v>
      </c>
      <c r="G209" s="472" t="s">
        <v>749</v>
      </c>
      <c r="H209" s="472" t="s">
        <v>416</v>
      </c>
      <c r="I209" s="472" t="s">
        <v>750</v>
      </c>
      <c r="K209" s="473">
        <f t="shared" si="18"/>
        <v>1800</v>
      </c>
      <c r="M209" s="473">
        <v>1800</v>
      </c>
    </row>
    <row r="210" spans="1:15">
      <c r="A210" s="472">
        <v>5</v>
      </c>
      <c r="C210" s="472">
        <f t="shared" si="15"/>
        <v>79</v>
      </c>
      <c r="D210" s="472">
        <f t="shared" si="16"/>
        <v>74</v>
      </c>
      <c r="E210" s="472">
        <f t="shared" si="17"/>
        <v>14</v>
      </c>
      <c r="F210" s="472" t="str">
        <f t="shared" si="19"/>
        <v>pm</v>
      </c>
      <c r="G210" s="472" t="s">
        <v>751</v>
      </c>
      <c r="H210" s="472" t="s">
        <v>579</v>
      </c>
      <c r="I210" s="472" t="s">
        <v>752</v>
      </c>
      <c r="K210" s="473">
        <f t="shared" si="18"/>
        <v>1800</v>
      </c>
      <c r="M210" s="473">
        <v>1800</v>
      </c>
    </row>
    <row r="211" spans="1:15">
      <c r="A211" s="472">
        <v>1</v>
      </c>
      <c r="C211" s="472">
        <f t="shared" si="15"/>
        <v>80</v>
      </c>
      <c r="D211" s="472">
        <f t="shared" si="16"/>
        <v>74</v>
      </c>
      <c r="E211" s="472">
        <f t="shared" si="17"/>
        <v>14</v>
      </c>
      <c r="F211" s="472" t="str">
        <f t="shared" si="19"/>
        <v>sox</v>
      </c>
      <c r="G211" s="472" t="s">
        <v>753</v>
      </c>
      <c r="H211" s="472" t="s">
        <v>754</v>
      </c>
      <c r="I211" s="472" t="s">
        <v>755</v>
      </c>
      <c r="K211" s="473">
        <f t="shared" si="18"/>
        <v>1800</v>
      </c>
      <c r="M211" s="473">
        <v>1800</v>
      </c>
    </row>
    <row r="212" spans="1:15">
      <c r="A212" s="472">
        <v>1</v>
      </c>
      <c r="C212" s="472">
        <f t="shared" si="15"/>
        <v>81</v>
      </c>
      <c r="D212" s="472">
        <f t="shared" si="16"/>
        <v>74</v>
      </c>
      <c r="E212" s="472">
        <f t="shared" si="17"/>
        <v>14</v>
      </c>
      <c r="F212" s="472" t="str">
        <f t="shared" si="19"/>
        <v>sox</v>
      </c>
      <c r="G212" s="472" t="s">
        <v>756</v>
      </c>
      <c r="H212" s="472" t="s">
        <v>754</v>
      </c>
      <c r="I212" s="472" t="s">
        <v>757</v>
      </c>
      <c r="K212" s="473">
        <f t="shared" si="18"/>
        <v>1800</v>
      </c>
      <c r="M212" s="473">
        <v>1800</v>
      </c>
    </row>
    <row r="213" spans="1:15">
      <c r="A213" s="472">
        <v>4</v>
      </c>
      <c r="C213" s="472">
        <f t="shared" si="15"/>
        <v>82</v>
      </c>
      <c r="D213" s="472">
        <f t="shared" si="16"/>
        <v>74</v>
      </c>
      <c r="E213" s="472">
        <f t="shared" si="17"/>
        <v>14</v>
      </c>
      <c r="F213" s="472" t="str">
        <f t="shared" si="19"/>
        <v>pm</v>
      </c>
      <c r="G213" s="472" t="s">
        <v>758</v>
      </c>
      <c r="H213" s="472" t="s">
        <v>483</v>
      </c>
      <c r="I213" s="472" t="s">
        <v>759</v>
      </c>
      <c r="K213" s="473">
        <f t="shared" si="18"/>
        <v>1800</v>
      </c>
      <c r="M213" s="473">
        <v>1800</v>
      </c>
    </row>
    <row r="214" spans="1:15">
      <c r="A214" s="472">
        <v>2</v>
      </c>
      <c r="C214" s="472">
        <f t="shared" si="15"/>
        <v>1</v>
      </c>
      <c r="D214" s="472">
        <f t="shared" si="16"/>
        <v>1</v>
      </c>
      <c r="E214" s="472">
        <f t="shared" si="17"/>
        <v>15</v>
      </c>
      <c r="F214" s="472" t="str">
        <f t="shared" si="19"/>
        <v>pm</v>
      </c>
      <c r="G214" s="472" t="s">
        <v>760</v>
      </c>
      <c r="H214" s="472" t="s">
        <v>86</v>
      </c>
      <c r="I214" s="472" t="s">
        <v>761</v>
      </c>
      <c r="K214" s="473">
        <f t="shared" si="18"/>
        <v>2500</v>
      </c>
      <c r="M214" s="473">
        <v>2500</v>
      </c>
    </row>
    <row r="215" spans="1:15">
      <c r="A215" s="472">
        <v>3</v>
      </c>
      <c r="C215" s="472">
        <f t="shared" si="15"/>
        <v>2</v>
      </c>
      <c r="D215" s="472">
        <f t="shared" si="16"/>
        <v>2</v>
      </c>
      <c r="E215" s="472">
        <f t="shared" si="17"/>
        <v>15</v>
      </c>
      <c r="F215" s="472" t="str">
        <f t="shared" si="19"/>
        <v>pm</v>
      </c>
      <c r="G215" s="472" t="s">
        <v>762</v>
      </c>
      <c r="H215" s="472" t="s">
        <v>654</v>
      </c>
      <c r="I215" s="472" t="s">
        <v>763</v>
      </c>
      <c r="K215" s="473">
        <f t="shared" si="18"/>
        <v>2510.3448964772092</v>
      </c>
      <c r="M215" s="473">
        <v>2466.6666666666665</v>
      </c>
      <c r="N215" s="472">
        <v>2480.3644408797813</v>
      </c>
      <c r="O215" s="472">
        <v>2510.3448964772092</v>
      </c>
    </row>
    <row r="216" spans="1:15">
      <c r="A216" s="472">
        <v>7</v>
      </c>
      <c r="C216" s="472">
        <f t="shared" si="15"/>
        <v>3</v>
      </c>
      <c r="D216" s="472">
        <f t="shared" si="16"/>
        <v>3</v>
      </c>
      <c r="E216" s="472">
        <f t="shared" si="17"/>
        <v>15</v>
      </c>
      <c r="F216" s="472" t="str">
        <f t="shared" si="19"/>
        <v>pm</v>
      </c>
      <c r="G216" s="472" t="s">
        <v>764</v>
      </c>
      <c r="H216" s="472" t="s">
        <v>512</v>
      </c>
      <c r="I216" s="472" t="s">
        <v>765</v>
      </c>
      <c r="K216" s="473">
        <f t="shared" si="18"/>
        <v>2276.9965662182972</v>
      </c>
      <c r="M216" s="473">
        <v>2428.5714285714284</v>
      </c>
      <c r="O216" s="472">
        <v>2276.9965662182972</v>
      </c>
    </row>
    <row r="217" spans="1:15">
      <c r="A217" s="472">
        <v>1</v>
      </c>
      <c r="C217" s="472">
        <f t="shared" si="15"/>
        <v>4</v>
      </c>
      <c r="D217" s="472">
        <f t="shared" si="16"/>
        <v>4</v>
      </c>
      <c r="E217" s="472">
        <f t="shared" si="17"/>
        <v>15</v>
      </c>
      <c r="F217" s="472" t="str">
        <f t="shared" si="19"/>
        <v>sox</v>
      </c>
      <c r="G217" s="472" t="s">
        <v>766</v>
      </c>
      <c r="H217" s="472" t="s">
        <v>351</v>
      </c>
      <c r="I217" s="472" t="s">
        <v>767</v>
      </c>
      <c r="K217" s="473">
        <f t="shared" si="18"/>
        <v>2400</v>
      </c>
      <c r="M217" s="473">
        <v>2400</v>
      </c>
    </row>
    <row r="218" spans="1:15">
      <c r="A218" s="472">
        <v>1</v>
      </c>
      <c r="C218" s="472">
        <f t="shared" si="15"/>
        <v>5</v>
      </c>
      <c r="D218" s="472">
        <f t="shared" si="16"/>
        <v>4</v>
      </c>
      <c r="E218" s="472">
        <f t="shared" si="17"/>
        <v>15</v>
      </c>
      <c r="F218" s="472" t="str">
        <f t="shared" si="19"/>
        <v>crx</v>
      </c>
      <c r="G218" s="472" t="s">
        <v>768</v>
      </c>
      <c r="H218" s="472" t="s">
        <v>340</v>
      </c>
      <c r="I218" s="472" t="s">
        <v>769</v>
      </c>
      <c r="K218" s="473">
        <f t="shared" si="18"/>
        <v>2400</v>
      </c>
      <c r="M218" s="473">
        <v>2400</v>
      </c>
    </row>
    <row r="219" spans="1:15">
      <c r="A219" s="472">
        <v>2</v>
      </c>
      <c r="C219" s="472">
        <f t="shared" si="15"/>
        <v>6</v>
      </c>
      <c r="D219" s="472">
        <f t="shared" si="16"/>
        <v>4</v>
      </c>
      <c r="E219" s="472">
        <f t="shared" si="17"/>
        <v>15</v>
      </c>
      <c r="F219" s="472" t="str">
        <f t="shared" si="19"/>
        <v>cr</v>
      </c>
      <c r="G219" s="472" t="s">
        <v>770</v>
      </c>
      <c r="H219" s="472" t="s">
        <v>340</v>
      </c>
      <c r="I219" s="472" t="s">
        <v>771</v>
      </c>
      <c r="K219" s="473">
        <f t="shared" si="18"/>
        <v>2400</v>
      </c>
      <c r="M219" s="473">
        <v>2400</v>
      </c>
    </row>
    <row r="220" spans="1:15">
      <c r="A220" s="472">
        <v>1</v>
      </c>
      <c r="C220" s="472">
        <f t="shared" si="15"/>
        <v>7</v>
      </c>
      <c r="D220" s="472">
        <f t="shared" si="16"/>
        <v>4</v>
      </c>
      <c r="E220" s="472">
        <f t="shared" si="17"/>
        <v>15</v>
      </c>
      <c r="F220" s="472" t="str">
        <f t="shared" si="19"/>
        <v>sox</v>
      </c>
      <c r="G220" s="472" t="s">
        <v>772</v>
      </c>
      <c r="H220" s="472" t="s">
        <v>773</v>
      </c>
      <c r="I220" s="472" t="s">
        <v>774</v>
      </c>
      <c r="K220" s="473">
        <f t="shared" si="18"/>
        <v>2400</v>
      </c>
      <c r="M220" s="473">
        <v>2400</v>
      </c>
    </row>
    <row r="221" spans="1:15">
      <c r="A221" s="472">
        <v>2</v>
      </c>
      <c r="C221" s="472">
        <f t="shared" si="15"/>
        <v>8</v>
      </c>
      <c r="D221" s="472">
        <f t="shared" si="16"/>
        <v>8</v>
      </c>
      <c r="E221" s="472">
        <f t="shared" si="17"/>
        <v>15</v>
      </c>
      <c r="F221" s="472" t="str">
        <f t="shared" si="19"/>
        <v>pm</v>
      </c>
      <c r="G221" s="472" t="s">
        <v>775</v>
      </c>
      <c r="H221" s="472" t="s">
        <v>370</v>
      </c>
      <c r="I221" s="472" t="s">
        <v>776</v>
      </c>
      <c r="K221" s="473">
        <f t="shared" si="18"/>
        <v>2492.2667464610149</v>
      </c>
      <c r="M221" s="473">
        <v>2400</v>
      </c>
      <c r="N221" s="472">
        <v>2492.2667464610149</v>
      </c>
    </row>
    <row r="222" spans="1:15">
      <c r="A222" s="472">
        <v>1</v>
      </c>
      <c r="C222" s="472">
        <f t="shared" si="15"/>
        <v>9</v>
      </c>
      <c r="D222" s="472">
        <f t="shared" si="16"/>
        <v>9</v>
      </c>
      <c r="E222" s="472">
        <f t="shared" si="17"/>
        <v>15</v>
      </c>
      <c r="F222" s="472" t="str">
        <f t="shared" si="19"/>
        <v>crx</v>
      </c>
      <c r="G222" s="472" t="s">
        <v>777</v>
      </c>
      <c r="H222" s="472" t="s">
        <v>778</v>
      </c>
      <c r="I222" s="472" t="s">
        <v>779</v>
      </c>
      <c r="K222" s="473">
        <f t="shared" si="18"/>
        <v>2400</v>
      </c>
      <c r="M222" s="473">
        <v>2400</v>
      </c>
    </row>
    <row r="223" spans="1:15">
      <c r="A223" s="472">
        <v>3</v>
      </c>
      <c r="C223" s="472">
        <f t="shared" si="15"/>
        <v>10</v>
      </c>
      <c r="D223" s="472">
        <f t="shared" si="16"/>
        <v>10</v>
      </c>
      <c r="E223" s="472">
        <f t="shared" si="17"/>
        <v>15</v>
      </c>
      <c r="F223" s="472" t="str">
        <f t="shared" si="19"/>
        <v>pm</v>
      </c>
      <c r="G223" s="472" t="s">
        <v>780</v>
      </c>
      <c r="H223" s="472" t="s">
        <v>331</v>
      </c>
      <c r="I223" s="472" t="s">
        <v>781</v>
      </c>
      <c r="K223" s="473">
        <f t="shared" si="18"/>
        <v>2499.9052143727263</v>
      </c>
      <c r="M223" s="473">
        <v>2400</v>
      </c>
      <c r="N223" s="472">
        <v>2499.9052143727263</v>
      </c>
    </row>
    <row r="224" spans="1:15">
      <c r="A224" s="472">
        <v>4</v>
      </c>
      <c r="C224" s="472">
        <f t="shared" si="15"/>
        <v>11</v>
      </c>
      <c r="D224" s="472">
        <f t="shared" si="16"/>
        <v>11</v>
      </c>
      <c r="E224" s="472">
        <f t="shared" si="17"/>
        <v>15</v>
      </c>
      <c r="F224" s="472" t="str">
        <f t="shared" si="19"/>
        <v>pm</v>
      </c>
      <c r="G224" s="472" t="s">
        <v>782</v>
      </c>
      <c r="H224" s="472" t="s">
        <v>331</v>
      </c>
      <c r="I224" s="472" t="s">
        <v>783</v>
      </c>
      <c r="K224" s="473">
        <f t="shared" si="18"/>
        <v>2470.8208175790637</v>
      </c>
      <c r="M224" s="473">
        <v>2400</v>
      </c>
      <c r="N224" s="472">
        <v>2470.8208175790637</v>
      </c>
    </row>
    <row r="225" spans="1:14">
      <c r="A225" s="472">
        <v>4</v>
      </c>
      <c r="C225" s="472">
        <f t="shared" si="15"/>
        <v>12</v>
      </c>
      <c r="D225" s="472">
        <f t="shared" si="16"/>
        <v>12</v>
      </c>
      <c r="E225" s="472">
        <f t="shared" si="17"/>
        <v>15</v>
      </c>
      <c r="F225" s="472" t="str">
        <f t="shared" si="19"/>
        <v>pm</v>
      </c>
      <c r="G225" s="472" t="s">
        <v>784</v>
      </c>
      <c r="H225" s="472" t="s">
        <v>331</v>
      </c>
      <c r="I225" s="472" t="s">
        <v>785</v>
      </c>
      <c r="K225" s="473">
        <f t="shared" si="18"/>
        <v>2369.8134275114357</v>
      </c>
      <c r="M225" s="473">
        <v>2400</v>
      </c>
      <c r="N225" s="472">
        <v>2369.8134275114357</v>
      </c>
    </row>
    <row r="226" spans="1:14">
      <c r="A226" s="472">
        <v>5</v>
      </c>
      <c r="C226" s="472">
        <f t="shared" si="15"/>
        <v>13</v>
      </c>
      <c r="D226" s="472">
        <f t="shared" si="16"/>
        <v>13</v>
      </c>
      <c r="E226" s="472">
        <f t="shared" si="17"/>
        <v>15</v>
      </c>
      <c r="F226" s="472" t="str">
        <f t="shared" si="19"/>
        <v>pm</v>
      </c>
      <c r="G226" s="472" t="s">
        <v>786</v>
      </c>
      <c r="H226" s="472" t="s">
        <v>383</v>
      </c>
      <c r="I226" s="472" t="s">
        <v>787</v>
      </c>
      <c r="K226" s="473">
        <f t="shared" si="18"/>
        <v>2396.4856055822324</v>
      </c>
      <c r="M226" s="473">
        <v>2400</v>
      </c>
      <c r="N226" s="472">
        <v>2396.4856055822324</v>
      </c>
    </row>
    <row r="227" spans="1:14">
      <c r="A227" s="472">
        <v>6</v>
      </c>
      <c r="C227" s="472">
        <f t="shared" si="15"/>
        <v>14</v>
      </c>
      <c r="D227" s="472">
        <f t="shared" si="16"/>
        <v>14</v>
      </c>
      <c r="E227" s="472">
        <f t="shared" si="17"/>
        <v>15</v>
      </c>
      <c r="F227" s="472" t="str">
        <f t="shared" si="19"/>
        <v>pm</v>
      </c>
      <c r="G227" s="472" t="s">
        <v>788</v>
      </c>
      <c r="H227" s="472" t="s">
        <v>386</v>
      </c>
      <c r="I227" s="472" t="s">
        <v>789</v>
      </c>
      <c r="K227" s="473">
        <f t="shared" si="18"/>
        <v>2462.2068631517795</v>
      </c>
      <c r="M227" s="473">
        <v>2400</v>
      </c>
      <c r="N227" s="472">
        <v>2462.2068631517795</v>
      </c>
    </row>
    <row r="228" spans="1:14">
      <c r="A228" s="472">
        <v>3</v>
      </c>
      <c r="C228" s="472">
        <f t="shared" si="15"/>
        <v>15</v>
      </c>
      <c r="D228" s="472">
        <f t="shared" si="16"/>
        <v>15</v>
      </c>
      <c r="E228" s="472">
        <f t="shared" si="17"/>
        <v>15</v>
      </c>
      <c r="F228" s="472" t="str">
        <f t="shared" si="19"/>
        <v>pm</v>
      </c>
      <c r="G228" s="472" t="s">
        <v>790</v>
      </c>
      <c r="H228" s="472" t="s">
        <v>391</v>
      </c>
      <c r="I228" s="472" t="s">
        <v>791</v>
      </c>
      <c r="K228" s="473">
        <f t="shared" si="18"/>
        <v>2400</v>
      </c>
      <c r="M228" s="473">
        <v>2400</v>
      </c>
    </row>
    <row r="229" spans="1:14">
      <c r="A229" s="472">
        <v>1</v>
      </c>
      <c r="C229" s="472">
        <f t="shared" si="15"/>
        <v>16</v>
      </c>
      <c r="D229" s="472">
        <f t="shared" si="16"/>
        <v>15</v>
      </c>
      <c r="E229" s="472">
        <f t="shared" si="17"/>
        <v>15</v>
      </c>
      <c r="F229" s="472" t="str">
        <f t="shared" si="19"/>
        <v>pmx</v>
      </c>
      <c r="G229" s="472" t="s">
        <v>792</v>
      </c>
      <c r="H229" s="472" t="s">
        <v>449</v>
      </c>
      <c r="I229" s="472" t="s">
        <v>793</v>
      </c>
      <c r="K229" s="473">
        <f t="shared" si="18"/>
        <v>2400</v>
      </c>
      <c r="M229" s="473">
        <v>2400</v>
      </c>
    </row>
    <row r="230" spans="1:14">
      <c r="A230" s="472">
        <v>1</v>
      </c>
      <c r="C230" s="472">
        <f t="shared" si="15"/>
        <v>17</v>
      </c>
      <c r="D230" s="472">
        <f t="shared" si="16"/>
        <v>15</v>
      </c>
      <c r="E230" s="472">
        <f t="shared" si="17"/>
        <v>15</v>
      </c>
      <c r="F230" s="472" t="str">
        <f t="shared" si="19"/>
        <v>pmx</v>
      </c>
      <c r="G230" s="472" t="s">
        <v>794</v>
      </c>
      <c r="H230" s="472" t="s">
        <v>449</v>
      </c>
      <c r="I230" s="472" t="s">
        <v>795</v>
      </c>
      <c r="K230" s="473">
        <f t="shared" si="18"/>
        <v>2400</v>
      </c>
      <c r="M230" s="473">
        <v>2400</v>
      </c>
    </row>
    <row r="231" spans="1:14">
      <c r="A231" s="472">
        <v>1</v>
      </c>
      <c r="C231" s="472">
        <f t="shared" si="15"/>
        <v>18</v>
      </c>
      <c r="D231" s="472">
        <f t="shared" si="16"/>
        <v>15</v>
      </c>
      <c r="E231" s="472">
        <f t="shared" si="17"/>
        <v>15</v>
      </c>
      <c r="F231" s="472" t="str">
        <f t="shared" si="19"/>
        <v>crx</v>
      </c>
      <c r="G231" s="472" t="s">
        <v>796</v>
      </c>
      <c r="H231" s="472" t="s">
        <v>613</v>
      </c>
      <c r="I231" s="472" t="s">
        <v>797</v>
      </c>
      <c r="K231" s="473">
        <f t="shared" si="18"/>
        <v>2400</v>
      </c>
      <c r="M231" s="473">
        <v>2400</v>
      </c>
    </row>
    <row r="232" spans="1:14">
      <c r="A232" s="472">
        <v>4</v>
      </c>
      <c r="C232" s="472">
        <f t="shared" si="15"/>
        <v>19</v>
      </c>
      <c r="D232" s="472">
        <f t="shared" si="16"/>
        <v>19</v>
      </c>
      <c r="E232" s="472">
        <f t="shared" si="17"/>
        <v>15</v>
      </c>
      <c r="F232" s="472" t="str">
        <f t="shared" si="19"/>
        <v>pm</v>
      </c>
      <c r="G232" s="472" t="s">
        <v>798</v>
      </c>
      <c r="H232" s="472" t="s">
        <v>799</v>
      </c>
      <c r="I232" s="472" t="s">
        <v>800</v>
      </c>
      <c r="K232" s="473">
        <f t="shared" si="18"/>
        <v>2325.1183630529181</v>
      </c>
      <c r="M232" s="473">
        <v>2400</v>
      </c>
      <c r="N232" s="472">
        <v>2325.1183630529181</v>
      </c>
    </row>
    <row r="233" spans="1:14">
      <c r="A233" s="472">
        <v>6</v>
      </c>
      <c r="C233" s="472">
        <f t="shared" si="15"/>
        <v>20</v>
      </c>
      <c r="D233" s="472">
        <f t="shared" si="16"/>
        <v>20</v>
      </c>
      <c r="E233" s="472">
        <f t="shared" si="17"/>
        <v>15</v>
      </c>
      <c r="F233" s="472" t="str">
        <f t="shared" si="19"/>
        <v>pm</v>
      </c>
      <c r="G233" s="472" t="s">
        <v>801</v>
      </c>
      <c r="H233" s="472" t="s">
        <v>394</v>
      </c>
      <c r="I233" s="472" t="s">
        <v>802</v>
      </c>
      <c r="K233" s="473">
        <f t="shared" si="18"/>
        <v>2400</v>
      </c>
      <c r="M233" s="473">
        <v>2400</v>
      </c>
    </row>
    <row r="234" spans="1:14">
      <c r="A234" s="472">
        <v>6</v>
      </c>
      <c r="C234" s="472">
        <f t="shared" si="15"/>
        <v>21</v>
      </c>
      <c r="D234" s="472">
        <f t="shared" si="16"/>
        <v>21</v>
      </c>
      <c r="E234" s="472">
        <f t="shared" si="17"/>
        <v>15</v>
      </c>
      <c r="F234" s="472" t="str">
        <f t="shared" si="19"/>
        <v>pm</v>
      </c>
      <c r="G234" s="472" t="s">
        <v>803</v>
      </c>
      <c r="H234" s="472" t="s">
        <v>421</v>
      </c>
      <c r="I234" s="472" t="s">
        <v>804</v>
      </c>
      <c r="K234" s="473">
        <f t="shared" si="18"/>
        <v>2346.6535202790119</v>
      </c>
      <c r="M234" s="473">
        <v>2400</v>
      </c>
      <c r="N234" s="472">
        <v>2346.6535202790119</v>
      </c>
    </row>
    <row r="235" spans="1:14">
      <c r="A235" s="472">
        <v>1</v>
      </c>
      <c r="C235" s="472">
        <f t="shared" si="15"/>
        <v>22</v>
      </c>
      <c r="D235" s="472">
        <f t="shared" si="16"/>
        <v>22</v>
      </c>
      <c r="E235" s="472">
        <f t="shared" si="17"/>
        <v>15</v>
      </c>
      <c r="F235" s="472" t="str">
        <f t="shared" si="19"/>
        <v>crx</v>
      </c>
      <c r="G235" s="472" t="s">
        <v>805</v>
      </c>
      <c r="H235" s="472" t="s">
        <v>806</v>
      </c>
      <c r="I235" s="472" t="s">
        <v>807</v>
      </c>
      <c r="K235" s="473">
        <f t="shared" si="18"/>
        <v>2434.5178587535579</v>
      </c>
      <c r="M235" s="473">
        <v>2400</v>
      </c>
      <c r="N235" s="472">
        <v>2434.5178587535579</v>
      </c>
    </row>
    <row r="236" spans="1:14">
      <c r="A236" s="472">
        <v>3</v>
      </c>
      <c r="C236" s="472">
        <f t="shared" si="15"/>
        <v>23</v>
      </c>
      <c r="D236" s="472">
        <f t="shared" si="16"/>
        <v>23</v>
      </c>
      <c r="E236" s="472">
        <f t="shared" si="17"/>
        <v>15</v>
      </c>
      <c r="F236" s="472" t="str">
        <f t="shared" si="19"/>
        <v>pm</v>
      </c>
      <c r="G236" s="472" t="s">
        <v>808</v>
      </c>
      <c r="H236" s="472" t="s">
        <v>452</v>
      </c>
      <c r="I236" s="472" t="s">
        <v>809</v>
      </c>
      <c r="K236" s="473">
        <f t="shared" si="18"/>
        <v>2470.4772204216447</v>
      </c>
      <c r="M236" s="473">
        <v>2400</v>
      </c>
      <c r="N236" s="472">
        <v>2470.4772204216447</v>
      </c>
    </row>
    <row r="237" spans="1:14">
      <c r="A237" s="472">
        <v>1</v>
      </c>
      <c r="C237" s="472">
        <f t="shared" si="15"/>
        <v>24</v>
      </c>
      <c r="D237" s="472">
        <f t="shared" si="16"/>
        <v>24</v>
      </c>
      <c r="E237" s="472">
        <f t="shared" si="17"/>
        <v>15</v>
      </c>
      <c r="F237" s="472" t="str">
        <f t="shared" si="19"/>
        <v>odx</v>
      </c>
      <c r="G237" s="472" t="s">
        <v>810</v>
      </c>
      <c r="H237" s="472" t="s">
        <v>811</v>
      </c>
      <c r="I237" s="472" t="s">
        <v>812</v>
      </c>
      <c r="K237" s="473">
        <f t="shared" si="18"/>
        <v>2467.8081433375669</v>
      </c>
      <c r="M237" s="473">
        <v>2400</v>
      </c>
      <c r="N237" s="472">
        <v>2467.8081433375669</v>
      </c>
    </row>
    <row r="238" spans="1:14">
      <c r="A238" s="472">
        <v>2</v>
      </c>
      <c r="C238" s="472">
        <f t="shared" si="15"/>
        <v>25</v>
      </c>
      <c r="D238" s="472">
        <f t="shared" si="16"/>
        <v>25</v>
      </c>
      <c r="E238" s="472">
        <f t="shared" si="17"/>
        <v>15</v>
      </c>
      <c r="F238" s="472" t="str">
        <f t="shared" si="19"/>
        <v>pm</v>
      </c>
      <c r="G238" s="472" t="s">
        <v>813</v>
      </c>
      <c r="H238" s="472" t="s">
        <v>154</v>
      </c>
      <c r="I238" s="472" t="s">
        <v>814</v>
      </c>
      <c r="K238" s="473">
        <f t="shared" si="18"/>
        <v>2400</v>
      </c>
      <c r="M238" s="473">
        <v>2400</v>
      </c>
    </row>
    <row r="239" spans="1:14">
      <c r="A239" s="472">
        <v>2</v>
      </c>
      <c r="C239" s="472">
        <f t="shared" si="15"/>
        <v>26</v>
      </c>
      <c r="D239" s="472">
        <f t="shared" si="16"/>
        <v>25</v>
      </c>
      <c r="E239" s="472">
        <f t="shared" si="17"/>
        <v>15</v>
      </c>
      <c r="F239" s="472" t="str">
        <f t="shared" si="19"/>
        <v>pm</v>
      </c>
      <c r="G239" s="472" t="s">
        <v>815</v>
      </c>
      <c r="H239" s="472" t="s">
        <v>154</v>
      </c>
      <c r="I239" s="472" t="s">
        <v>816</v>
      </c>
      <c r="K239" s="473">
        <f t="shared" si="18"/>
        <v>2400</v>
      </c>
      <c r="M239" s="473">
        <v>2400</v>
      </c>
    </row>
    <row r="240" spans="1:14">
      <c r="A240" s="472">
        <v>2</v>
      </c>
      <c r="C240" s="472">
        <f t="shared" si="15"/>
        <v>27</v>
      </c>
      <c r="D240" s="472">
        <f t="shared" si="16"/>
        <v>25</v>
      </c>
      <c r="E240" s="472">
        <f t="shared" si="17"/>
        <v>15</v>
      </c>
      <c r="F240" s="472" t="str">
        <f t="shared" si="19"/>
        <v>pm</v>
      </c>
      <c r="G240" s="472" t="s">
        <v>817</v>
      </c>
      <c r="H240" s="472" t="s">
        <v>154</v>
      </c>
      <c r="I240" s="472" t="s">
        <v>818</v>
      </c>
      <c r="K240" s="473">
        <f t="shared" si="18"/>
        <v>2400</v>
      </c>
      <c r="M240" s="473">
        <v>2400</v>
      </c>
    </row>
    <row r="241" spans="1:14">
      <c r="A241" s="472">
        <v>2</v>
      </c>
      <c r="C241" s="472">
        <f t="shared" si="15"/>
        <v>28</v>
      </c>
      <c r="D241" s="472">
        <f t="shared" si="16"/>
        <v>25</v>
      </c>
      <c r="E241" s="472">
        <f t="shared" si="17"/>
        <v>15</v>
      </c>
      <c r="F241" s="472" t="str">
        <f t="shared" si="19"/>
        <v>pm</v>
      </c>
      <c r="G241" s="472" t="s">
        <v>819</v>
      </c>
      <c r="H241" s="472" t="s">
        <v>154</v>
      </c>
      <c r="I241" s="472" t="s">
        <v>820</v>
      </c>
      <c r="K241" s="473">
        <f t="shared" si="18"/>
        <v>2400</v>
      </c>
      <c r="M241" s="473">
        <v>2400</v>
      </c>
    </row>
    <row r="242" spans="1:14">
      <c r="A242" s="472">
        <v>1</v>
      </c>
      <c r="C242" s="472">
        <f t="shared" si="15"/>
        <v>29</v>
      </c>
      <c r="D242" s="472">
        <f t="shared" si="16"/>
        <v>25</v>
      </c>
      <c r="E242" s="472">
        <f t="shared" si="17"/>
        <v>15</v>
      </c>
      <c r="F242" s="472" t="str">
        <f t="shared" si="19"/>
        <v>sox</v>
      </c>
      <c r="G242" s="472" t="s">
        <v>821</v>
      </c>
      <c r="H242" s="472" t="s">
        <v>630</v>
      </c>
      <c r="I242" s="472" t="s">
        <v>822</v>
      </c>
      <c r="K242" s="473">
        <f t="shared" si="18"/>
        <v>2400</v>
      </c>
      <c r="M242" s="473">
        <v>2400</v>
      </c>
    </row>
    <row r="243" spans="1:14">
      <c r="A243" s="472">
        <v>2</v>
      </c>
      <c r="C243" s="472">
        <f t="shared" si="15"/>
        <v>30</v>
      </c>
      <c r="D243" s="472">
        <f t="shared" si="16"/>
        <v>30</v>
      </c>
      <c r="E243" s="472">
        <f t="shared" si="17"/>
        <v>15</v>
      </c>
      <c r="F243" s="472" t="str">
        <f t="shared" si="19"/>
        <v>pm</v>
      </c>
      <c r="G243" s="472" t="s">
        <v>823</v>
      </c>
      <c r="H243" s="472" t="s">
        <v>501</v>
      </c>
      <c r="I243" s="472" t="s">
        <v>824</v>
      </c>
      <c r="K243" s="473">
        <f t="shared" si="18"/>
        <v>2414.3713749158273</v>
      </c>
      <c r="M243" s="473">
        <v>2400</v>
      </c>
      <c r="N243" s="472">
        <v>2414.3713749158273</v>
      </c>
    </row>
    <row r="244" spans="1:14">
      <c r="A244" s="472">
        <v>2</v>
      </c>
      <c r="C244" s="472">
        <f t="shared" si="15"/>
        <v>31</v>
      </c>
      <c r="D244" s="472">
        <f t="shared" si="16"/>
        <v>31</v>
      </c>
      <c r="E244" s="472">
        <f t="shared" si="17"/>
        <v>15</v>
      </c>
      <c r="F244" s="472" t="str">
        <f t="shared" si="19"/>
        <v>pm</v>
      </c>
      <c r="G244" s="472" t="s">
        <v>825</v>
      </c>
      <c r="H244" s="472" t="s">
        <v>501</v>
      </c>
      <c r="I244" s="472" t="s">
        <v>826</v>
      </c>
      <c r="K244" s="473">
        <f t="shared" si="18"/>
        <v>2465.8103728705682</v>
      </c>
      <c r="M244" s="473">
        <v>2400</v>
      </c>
      <c r="N244" s="472">
        <v>2465.8103728705682</v>
      </c>
    </row>
    <row r="245" spans="1:14">
      <c r="A245" s="472">
        <v>3</v>
      </c>
      <c r="C245" s="472">
        <f t="shared" si="15"/>
        <v>32</v>
      </c>
      <c r="D245" s="472">
        <f t="shared" si="16"/>
        <v>32</v>
      </c>
      <c r="E245" s="472">
        <f t="shared" si="17"/>
        <v>15</v>
      </c>
      <c r="F245" s="472" t="str">
        <f t="shared" si="19"/>
        <v>pm</v>
      </c>
      <c r="G245" s="472" t="s">
        <v>827</v>
      </c>
      <c r="H245" s="472" t="s">
        <v>408</v>
      </c>
      <c r="I245" s="472" t="s">
        <v>828</v>
      </c>
      <c r="K245" s="473">
        <f t="shared" si="18"/>
        <v>2400</v>
      </c>
      <c r="M245" s="473">
        <v>2400</v>
      </c>
    </row>
    <row r="246" spans="1:14">
      <c r="A246" s="472">
        <v>5</v>
      </c>
      <c r="C246" s="472">
        <f t="shared" si="15"/>
        <v>33</v>
      </c>
      <c r="D246" s="472">
        <f t="shared" si="16"/>
        <v>33</v>
      </c>
      <c r="E246" s="472">
        <f t="shared" si="17"/>
        <v>15</v>
      </c>
      <c r="F246" s="472" t="str">
        <f t="shared" si="19"/>
        <v>pm</v>
      </c>
      <c r="G246" s="472" t="s">
        <v>829</v>
      </c>
      <c r="H246" s="472" t="s">
        <v>411</v>
      </c>
      <c r="I246" s="472" t="s">
        <v>830</v>
      </c>
      <c r="K246" s="473">
        <f t="shared" si="18"/>
        <v>2341.5835419232544</v>
      </c>
      <c r="M246" s="473">
        <v>2400</v>
      </c>
      <c r="N246" s="472">
        <v>2341.5835419232544</v>
      </c>
    </row>
    <row r="247" spans="1:14">
      <c r="A247" s="472">
        <v>7</v>
      </c>
      <c r="C247" s="472">
        <f t="shared" si="15"/>
        <v>34</v>
      </c>
      <c r="D247" s="472">
        <f t="shared" si="16"/>
        <v>34</v>
      </c>
      <c r="E247" s="472">
        <f t="shared" si="17"/>
        <v>15</v>
      </c>
      <c r="F247" s="472" t="str">
        <f t="shared" si="19"/>
        <v>pm</v>
      </c>
      <c r="G247" s="472" t="s">
        <v>831</v>
      </c>
      <c r="H247" s="472" t="s">
        <v>411</v>
      </c>
      <c r="I247" s="472" t="s">
        <v>832</v>
      </c>
      <c r="K247" s="473">
        <f t="shared" si="18"/>
        <v>2327.0564608218274</v>
      </c>
      <c r="M247" s="473">
        <v>2400</v>
      </c>
      <c r="N247" s="472">
        <v>2327.0564608218274</v>
      </c>
    </row>
    <row r="248" spans="1:14">
      <c r="A248" s="472">
        <v>4</v>
      </c>
      <c r="C248" s="472">
        <f t="shared" si="15"/>
        <v>35</v>
      </c>
      <c r="D248" s="472">
        <f t="shared" si="16"/>
        <v>35</v>
      </c>
      <c r="E248" s="472">
        <f t="shared" si="17"/>
        <v>15</v>
      </c>
      <c r="F248" s="472" t="str">
        <f t="shared" si="19"/>
        <v>pm</v>
      </c>
      <c r="G248" s="472" t="s">
        <v>833</v>
      </c>
      <c r="H248" s="472" t="s">
        <v>86</v>
      </c>
      <c r="I248" s="472" t="s">
        <v>834</v>
      </c>
      <c r="K248" s="473">
        <f t="shared" si="18"/>
        <v>2400</v>
      </c>
      <c r="M248" s="473">
        <v>2400</v>
      </c>
    </row>
    <row r="249" spans="1:14">
      <c r="A249" s="472">
        <v>1</v>
      </c>
      <c r="C249" s="472">
        <f t="shared" si="15"/>
        <v>36</v>
      </c>
      <c r="D249" s="472">
        <f t="shared" si="16"/>
        <v>35</v>
      </c>
      <c r="E249" s="472">
        <f t="shared" si="17"/>
        <v>15</v>
      </c>
      <c r="F249" s="472" t="str">
        <f t="shared" si="19"/>
        <v>crx</v>
      </c>
      <c r="G249" s="472" t="s">
        <v>835</v>
      </c>
      <c r="H249" s="472" t="s">
        <v>836</v>
      </c>
      <c r="I249" s="472" t="s">
        <v>837</v>
      </c>
      <c r="K249" s="473">
        <f t="shared" si="18"/>
        <v>2400</v>
      </c>
      <c r="M249" s="473">
        <v>2400</v>
      </c>
    </row>
    <row r="250" spans="1:14">
      <c r="A250" s="472">
        <v>1</v>
      </c>
      <c r="C250" s="472">
        <f t="shared" si="15"/>
        <v>37</v>
      </c>
      <c r="D250" s="472">
        <f t="shared" si="16"/>
        <v>35</v>
      </c>
      <c r="E250" s="472">
        <f t="shared" si="17"/>
        <v>15</v>
      </c>
      <c r="F250" s="472" t="str">
        <f t="shared" si="19"/>
        <v>crx</v>
      </c>
      <c r="G250" s="472" t="s">
        <v>838</v>
      </c>
      <c r="H250" s="472" t="s">
        <v>836</v>
      </c>
      <c r="I250" s="472" t="s">
        <v>839</v>
      </c>
      <c r="K250" s="473">
        <f t="shared" si="18"/>
        <v>2400</v>
      </c>
      <c r="M250" s="473">
        <v>2400</v>
      </c>
    </row>
    <row r="251" spans="1:14">
      <c r="A251" s="472">
        <v>1</v>
      </c>
      <c r="C251" s="472">
        <f t="shared" si="15"/>
        <v>38</v>
      </c>
      <c r="D251" s="472">
        <f t="shared" si="16"/>
        <v>35</v>
      </c>
      <c r="E251" s="472">
        <f t="shared" si="17"/>
        <v>15</v>
      </c>
      <c r="F251" s="472" t="str">
        <f t="shared" si="19"/>
        <v>crx</v>
      </c>
      <c r="G251" s="472" t="s">
        <v>840</v>
      </c>
      <c r="H251" s="472" t="s">
        <v>470</v>
      </c>
      <c r="I251" s="472" t="s">
        <v>841</v>
      </c>
      <c r="K251" s="473">
        <f t="shared" si="18"/>
        <v>2400</v>
      </c>
      <c r="M251" s="473">
        <v>2400</v>
      </c>
    </row>
    <row r="252" spans="1:14">
      <c r="A252" s="472">
        <v>2</v>
      </c>
      <c r="C252" s="472">
        <f t="shared" si="15"/>
        <v>39</v>
      </c>
      <c r="D252" s="472">
        <f t="shared" si="16"/>
        <v>39</v>
      </c>
      <c r="E252" s="472">
        <f t="shared" si="17"/>
        <v>15</v>
      </c>
      <c r="F252" s="472" t="str">
        <f t="shared" si="19"/>
        <v>cr</v>
      </c>
      <c r="G252" s="472" t="s">
        <v>842</v>
      </c>
      <c r="H252" s="472" t="s">
        <v>843</v>
      </c>
      <c r="I252" s="472" t="s">
        <v>844</v>
      </c>
      <c r="K252" s="473">
        <f t="shared" si="18"/>
        <v>2413.9498949555532</v>
      </c>
      <c r="M252" s="473">
        <v>2400</v>
      </c>
      <c r="N252" s="472">
        <v>2413.9498949555532</v>
      </c>
    </row>
    <row r="253" spans="1:14">
      <c r="A253" s="472">
        <v>1</v>
      </c>
      <c r="C253" s="472">
        <f t="shared" si="15"/>
        <v>40</v>
      </c>
      <c r="D253" s="472">
        <f t="shared" si="16"/>
        <v>40</v>
      </c>
      <c r="E253" s="472">
        <f t="shared" si="17"/>
        <v>15</v>
      </c>
      <c r="F253" s="472" t="str">
        <f t="shared" si="19"/>
        <v>crx</v>
      </c>
      <c r="G253" s="472" t="s">
        <v>845</v>
      </c>
      <c r="H253" s="472" t="s">
        <v>846</v>
      </c>
      <c r="I253" s="472" t="s">
        <v>847</v>
      </c>
      <c r="K253" s="473">
        <f t="shared" si="18"/>
        <v>2400</v>
      </c>
      <c r="M253" s="473">
        <v>2400</v>
      </c>
    </row>
    <row r="254" spans="1:14">
      <c r="A254" s="472">
        <v>4</v>
      </c>
      <c r="C254" s="472">
        <f t="shared" si="15"/>
        <v>41</v>
      </c>
      <c r="D254" s="472">
        <f t="shared" si="16"/>
        <v>41</v>
      </c>
      <c r="E254" s="472">
        <f t="shared" si="17"/>
        <v>15</v>
      </c>
      <c r="F254" s="472" t="str">
        <f t="shared" si="19"/>
        <v>pm</v>
      </c>
      <c r="G254" s="472" t="s">
        <v>848</v>
      </c>
      <c r="H254" s="472" t="s">
        <v>654</v>
      </c>
      <c r="I254" s="472" t="s">
        <v>849</v>
      </c>
      <c r="K254" s="473">
        <f t="shared" si="18"/>
        <v>2300.1136222741839</v>
      </c>
      <c r="M254" s="473">
        <v>2400</v>
      </c>
      <c r="N254" s="472">
        <v>2300.1136222741839</v>
      </c>
    </row>
    <row r="255" spans="1:14">
      <c r="A255" s="472">
        <v>1</v>
      </c>
      <c r="C255" s="472">
        <f t="shared" si="15"/>
        <v>42</v>
      </c>
      <c r="D255" s="472">
        <f t="shared" si="16"/>
        <v>42</v>
      </c>
      <c r="E255" s="472">
        <f t="shared" si="17"/>
        <v>15</v>
      </c>
      <c r="F255" s="472" t="str">
        <f t="shared" si="19"/>
        <v>pmx</v>
      </c>
      <c r="G255" s="472" t="s">
        <v>850</v>
      </c>
      <c r="H255" s="472" t="s">
        <v>346</v>
      </c>
      <c r="I255" s="472" t="s">
        <v>851</v>
      </c>
      <c r="K255" s="473">
        <f t="shared" si="18"/>
        <v>2400</v>
      </c>
      <c r="M255" s="473">
        <v>2400</v>
      </c>
    </row>
    <row r="256" spans="1:14">
      <c r="A256" s="472">
        <v>1</v>
      </c>
      <c r="C256" s="472">
        <f t="shared" si="15"/>
        <v>43</v>
      </c>
      <c r="D256" s="472">
        <f t="shared" si="16"/>
        <v>42</v>
      </c>
      <c r="E256" s="472">
        <f t="shared" si="17"/>
        <v>15</v>
      </c>
      <c r="F256" s="472" t="str">
        <f t="shared" si="19"/>
        <v>pmx</v>
      </c>
      <c r="G256" s="472" t="s">
        <v>852</v>
      </c>
      <c r="H256" s="472" t="s">
        <v>346</v>
      </c>
      <c r="I256" s="472" t="s">
        <v>853</v>
      </c>
      <c r="K256" s="473">
        <f t="shared" si="18"/>
        <v>2400</v>
      </c>
      <c r="M256" s="473">
        <v>2400</v>
      </c>
    </row>
    <row r="257" spans="1:15">
      <c r="A257" s="472">
        <v>3</v>
      </c>
      <c r="C257" s="472">
        <f t="shared" si="15"/>
        <v>44</v>
      </c>
      <c r="D257" s="472">
        <f t="shared" si="16"/>
        <v>42</v>
      </c>
      <c r="E257" s="472">
        <f t="shared" si="17"/>
        <v>15</v>
      </c>
      <c r="F257" s="472" t="str">
        <f t="shared" si="19"/>
        <v>pm</v>
      </c>
      <c r="G257" s="472" t="s">
        <v>854</v>
      </c>
      <c r="H257" s="472" t="s">
        <v>483</v>
      </c>
      <c r="I257" s="472" t="s">
        <v>855</v>
      </c>
      <c r="K257" s="473">
        <f t="shared" si="18"/>
        <v>2400</v>
      </c>
      <c r="M257" s="473">
        <v>2400</v>
      </c>
    </row>
    <row r="258" spans="1:15">
      <c r="A258" s="472">
        <v>6</v>
      </c>
      <c r="C258" s="472">
        <f t="shared" ref="C258:C321" si="20">IF(E258=E257,C257+1,1)</f>
        <v>45</v>
      </c>
      <c r="D258" s="472">
        <f t="shared" ref="D258:D321" si="21">IF(K258=K257,D257,C258)</f>
        <v>45</v>
      </c>
      <c r="E258" s="472">
        <f t="shared" ref="E258:E321" si="22">10+VALUE(RIGHT(LEFT(G258,3),1))</f>
        <v>15</v>
      </c>
      <c r="F258" s="472" t="str">
        <f t="shared" si="19"/>
        <v>pm</v>
      </c>
      <c r="G258" s="472" t="s">
        <v>856</v>
      </c>
      <c r="H258" s="472" t="s">
        <v>386</v>
      </c>
      <c r="I258" s="472" t="s">
        <v>857</v>
      </c>
      <c r="K258" s="473">
        <f t="shared" ref="K258:K321" si="23">LOOKUP(1E+100,M258:AC258)</f>
        <v>2181.068342313471</v>
      </c>
      <c r="M258" s="473">
        <v>2333.3333333333335</v>
      </c>
      <c r="O258" s="472">
        <v>2181.068342313471</v>
      </c>
    </row>
    <row r="259" spans="1:15">
      <c r="A259" s="472">
        <v>4</v>
      </c>
      <c r="C259" s="472">
        <f t="shared" si="20"/>
        <v>46</v>
      </c>
      <c r="D259" s="472">
        <f t="shared" si="21"/>
        <v>46</v>
      </c>
      <c r="E259" s="472">
        <f t="shared" si="22"/>
        <v>15</v>
      </c>
      <c r="F259" s="472" t="str">
        <f t="shared" ref="F259:F322" si="24">RIGHT(G259,2) &amp; IF(A259&lt;2,"x","")</f>
        <v>pm</v>
      </c>
      <c r="G259" s="472" t="s">
        <v>858</v>
      </c>
      <c r="H259" s="472" t="s">
        <v>92</v>
      </c>
      <c r="I259" s="472" t="s">
        <v>859</v>
      </c>
      <c r="K259" s="473">
        <f t="shared" si="23"/>
        <v>2300</v>
      </c>
      <c r="M259" s="473">
        <v>2300</v>
      </c>
    </row>
    <row r="260" spans="1:15">
      <c r="A260" s="472">
        <v>4</v>
      </c>
      <c r="C260" s="472">
        <f t="shared" si="20"/>
        <v>47</v>
      </c>
      <c r="D260" s="472">
        <f t="shared" si="21"/>
        <v>47</v>
      </c>
      <c r="E260" s="472">
        <f t="shared" si="22"/>
        <v>15</v>
      </c>
      <c r="F260" s="472" t="str">
        <f t="shared" si="24"/>
        <v>pm</v>
      </c>
      <c r="G260" s="472" t="s">
        <v>860</v>
      </c>
      <c r="H260" s="472" t="s">
        <v>408</v>
      </c>
      <c r="I260" s="472" t="s">
        <v>861</v>
      </c>
      <c r="K260" s="473">
        <f t="shared" si="23"/>
        <v>2235.0356284950308</v>
      </c>
      <c r="M260" s="473">
        <v>2300</v>
      </c>
      <c r="O260" s="472">
        <v>2235.0356284950308</v>
      </c>
    </row>
    <row r="261" spans="1:15">
      <c r="A261" s="472">
        <v>5</v>
      </c>
      <c r="C261" s="472">
        <f t="shared" si="20"/>
        <v>48</v>
      </c>
      <c r="D261" s="472">
        <f t="shared" si="21"/>
        <v>48</v>
      </c>
      <c r="E261" s="472">
        <f t="shared" si="22"/>
        <v>15</v>
      </c>
      <c r="F261" s="472" t="str">
        <f t="shared" si="24"/>
        <v>pm</v>
      </c>
      <c r="G261" s="472" t="s">
        <v>862</v>
      </c>
      <c r="H261" s="472" t="s">
        <v>337</v>
      </c>
      <c r="I261" s="472" t="s">
        <v>863</v>
      </c>
      <c r="K261" s="473">
        <f t="shared" si="23"/>
        <v>2166.7401209474078</v>
      </c>
      <c r="M261" s="473">
        <v>2160</v>
      </c>
      <c r="O261" s="472">
        <v>2166.7401209474078</v>
      </c>
    </row>
    <row r="262" spans="1:15">
      <c r="A262" s="472">
        <v>6</v>
      </c>
      <c r="C262" s="472">
        <f t="shared" si="20"/>
        <v>49</v>
      </c>
      <c r="D262" s="472">
        <f t="shared" si="21"/>
        <v>49</v>
      </c>
      <c r="E262" s="472">
        <f t="shared" si="22"/>
        <v>15</v>
      </c>
      <c r="F262" s="472" t="str">
        <f t="shared" si="24"/>
        <v>pm</v>
      </c>
      <c r="G262" s="472" t="s">
        <v>864</v>
      </c>
      <c r="H262" s="472" t="s">
        <v>671</v>
      </c>
      <c r="I262" s="472" t="s">
        <v>865</v>
      </c>
      <c r="K262" s="473">
        <f t="shared" si="23"/>
        <v>2144.1217834697964</v>
      </c>
      <c r="M262" s="473">
        <v>2066.6666666666665</v>
      </c>
      <c r="O262" s="472">
        <v>2144.1217834697964</v>
      </c>
    </row>
    <row r="263" spans="1:15">
      <c r="A263" s="472">
        <v>3</v>
      </c>
      <c r="C263" s="472">
        <f t="shared" si="20"/>
        <v>50</v>
      </c>
      <c r="D263" s="472">
        <f t="shared" si="21"/>
        <v>50</v>
      </c>
      <c r="E263" s="472">
        <f t="shared" si="22"/>
        <v>15</v>
      </c>
      <c r="F263" s="472" t="str">
        <f t="shared" si="24"/>
        <v>so</v>
      </c>
      <c r="G263" s="472" t="s">
        <v>866</v>
      </c>
      <c r="H263" s="472" t="s">
        <v>867</v>
      </c>
      <c r="I263" s="472" t="s">
        <v>868</v>
      </c>
      <c r="K263" s="473">
        <f t="shared" si="23"/>
        <v>2066.6666666666665</v>
      </c>
      <c r="M263" s="473">
        <v>2066.6666666666665</v>
      </c>
    </row>
    <row r="264" spans="1:15">
      <c r="A264" s="472">
        <v>5</v>
      </c>
      <c r="C264" s="472">
        <f t="shared" si="20"/>
        <v>51</v>
      </c>
      <c r="D264" s="472">
        <f t="shared" si="21"/>
        <v>51</v>
      </c>
      <c r="E264" s="472">
        <f t="shared" si="22"/>
        <v>15</v>
      </c>
      <c r="F264" s="472" t="str">
        <f t="shared" si="24"/>
        <v>pm</v>
      </c>
      <c r="G264" s="472" t="s">
        <v>869</v>
      </c>
      <c r="H264" s="472" t="s">
        <v>870</v>
      </c>
      <c r="I264" s="472" t="s">
        <v>871</v>
      </c>
      <c r="K264" s="473">
        <f t="shared" si="23"/>
        <v>1945.5835796928918</v>
      </c>
      <c r="M264" s="473">
        <v>2000</v>
      </c>
      <c r="O264" s="472">
        <v>1945.5835796928918</v>
      </c>
    </row>
    <row r="265" spans="1:15">
      <c r="A265" s="472">
        <v>1</v>
      </c>
      <c r="C265" s="472">
        <f t="shared" si="20"/>
        <v>52</v>
      </c>
      <c r="D265" s="472">
        <f t="shared" si="21"/>
        <v>52</v>
      </c>
      <c r="E265" s="472">
        <f t="shared" si="22"/>
        <v>15</v>
      </c>
      <c r="F265" s="472" t="str">
        <f t="shared" si="24"/>
        <v>crx</v>
      </c>
      <c r="G265" s="472" t="s">
        <v>872</v>
      </c>
      <c r="H265" s="472" t="s">
        <v>873</v>
      </c>
      <c r="I265" s="472" t="s">
        <v>874</v>
      </c>
      <c r="K265" s="473">
        <f t="shared" si="23"/>
        <v>2067.7629540639618</v>
      </c>
      <c r="M265" s="473">
        <v>2000</v>
      </c>
      <c r="O265" s="472">
        <v>2067.7629540639618</v>
      </c>
    </row>
    <row r="266" spans="1:15">
      <c r="A266" s="472">
        <v>3</v>
      </c>
      <c r="C266" s="472">
        <f t="shared" si="20"/>
        <v>53</v>
      </c>
      <c r="D266" s="472">
        <f t="shared" si="21"/>
        <v>53</v>
      </c>
      <c r="E266" s="472">
        <f t="shared" si="22"/>
        <v>15</v>
      </c>
      <c r="F266" s="472" t="str">
        <f t="shared" si="24"/>
        <v>pm</v>
      </c>
      <c r="G266" s="472" t="s">
        <v>875</v>
      </c>
      <c r="H266" s="472" t="s">
        <v>876</v>
      </c>
      <c r="I266" s="472" t="s">
        <v>877</v>
      </c>
      <c r="K266" s="473">
        <f t="shared" si="23"/>
        <v>2000</v>
      </c>
      <c r="M266" s="473">
        <v>2000</v>
      </c>
    </row>
    <row r="267" spans="1:15">
      <c r="A267" s="472">
        <v>2</v>
      </c>
      <c r="C267" s="472">
        <f t="shared" si="20"/>
        <v>54</v>
      </c>
      <c r="D267" s="472">
        <f t="shared" si="21"/>
        <v>53</v>
      </c>
      <c r="E267" s="472">
        <f t="shared" si="22"/>
        <v>15</v>
      </c>
      <c r="F267" s="472" t="str">
        <f t="shared" si="24"/>
        <v>cr</v>
      </c>
      <c r="G267" s="472" t="s">
        <v>878</v>
      </c>
      <c r="H267" s="472" t="s">
        <v>340</v>
      </c>
      <c r="I267" s="472" t="s">
        <v>879</v>
      </c>
      <c r="K267" s="473">
        <f t="shared" si="23"/>
        <v>2000</v>
      </c>
      <c r="M267" s="473">
        <v>2000</v>
      </c>
    </row>
    <row r="268" spans="1:15">
      <c r="A268" s="472">
        <v>1</v>
      </c>
      <c r="C268" s="472">
        <f t="shared" si="20"/>
        <v>55</v>
      </c>
      <c r="D268" s="472">
        <f t="shared" si="21"/>
        <v>55</v>
      </c>
      <c r="E268" s="472">
        <f t="shared" si="22"/>
        <v>15</v>
      </c>
      <c r="F268" s="472" t="str">
        <f t="shared" si="24"/>
        <v>pmx</v>
      </c>
      <c r="G268" s="472" t="s">
        <v>880</v>
      </c>
      <c r="H268" s="472" t="s">
        <v>343</v>
      </c>
      <c r="I268" s="472" t="s">
        <v>881</v>
      </c>
      <c r="K268" s="473">
        <f t="shared" si="23"/>
        <v>1956.945013216829</v>
      </c>
      <c r="M268" s="473">
        <v>2000</v>
      </c>
      <c r="O268" s="472">
        <v>1956.945013216829</v>
      </c>
    </row>
    <row r="269" spans="1:15">
      <c r="A269" s="472">
        <v>2</v>
      </c>
      <c r="C269" s="472">
        <f t="shared" si="20"/>
        <v>56</v>
      </c>
      <c r="D269" s="472">
        <f t="shared" si="21"/>
        <v>56</v>
      </c>
      <c r="E269" s="472">
        <f t="shared" si="22"/>
        <v>15</v>
      </c>
      <c r="F269" s="472" t="str">
        <f t="shared" si="24"/>
        <v>pm</v>
      </c>
      <c r="G269" s="472" t="s">
        <v>882</v>
      </c>
      <c r="H269" s="472" t="s">
        <v>370</v>
      </c>
      <c r="I269" s="472" t="s">
        <v>883</v>
      </c>
      <c r="K269" s="473">
        <f t="shared" si="23"/>
        <v>2026.0099610120353</v>
      </c>
      <c r="M269" s="473">
        <v>2000</v>
      </c>
      <c r="O269" s="472">
        <v>2026.0099610120353</v>
      </c>
    </row>
    <row r="270" spans="1:15">
      <c r="A270" s="472">
        <v>1</v>
      </c>
      <c r="C270" s="472">
        <f t="shared" si="20"/>
        <v>57</v>
      </c>
      <c r="D270" s="472">
        <f t="shared" si="21"/>
        <v>57</v>
      </c>
      <c r="E270" s="472">
        <f t="shared" si="22"/>
        <v>15</v>
      </c>
      <c r="F270" s="472" t="str">
        <f t="shared" si="24"/>
        <v>crx</v>
      </c>
      <c r="G270" s="472" t="s">
        <v>884</v>
      </c>
      <c r="H270" s="472" t="s">
        <v>440</v>
      </c>
      <c r="I270" s="472" t="s">
        <v>885</v>
      </c>
      <c r="K270" s="473">
        <f t="shared" si="23"/>
        <v>2186.2537904112141</v>
      </c>
      <c r="M270" s="473">
        <v>2000</v>
      </c>
      <c r="O270" s="472">
        <v>2186.2537904112141</v>
      </c>
    </row>
    <row r="271" spans="1:15">
      <c r="A271" s="472">
        <v>3</v>
      </c>
      <c r="C271" s="472">
        <f t="shared" si="20"/>
        <v>58</v>
      </c>
      <c r="D271" s="472">
        <f t="shared" si="21"/>
        <v>58</v>
      </c>
      <c r="E271" s="472">
        <f t="shared" si="22"/>
        <v>15</v>
      </c>
      <c r="F271" s="472" t="str">
        <f t="shared" si="24"/>
        <v>pm</v>
      </c>
      <c r="G271" s="472" t="s">
        <v>886</v>
      </c>
      <c r="H271" s="472" t="s">
        <v>331</v>
      </c>
      <c r="I271" s="472" t="s">
        <v>887</v>
      </c>
      <c r="K271" s="473">
        <f t="shared" si="23"/>
        <v>1946.6508848780252</v>
      </c>
      <c r="M271" s="473">
        <v>2000</v>
      </c>
      <c r="O271" s="472">
        <v>1946.6508848780252</v>
      </c>
    </row>
    <row r="272" spans="1:15">
      <c r="A272" s="472">
        <v>6</v>
      </c>
      <c r="C272" s="472">
        <f t="shared" si="20"/>
        <v>59</v>
      </c>
      <c r="D272" s="472">
        <f t="shared" si="21"/>
        <v>59</v>
      </c>
      <c r="E272" s="472">
        <f t="shared" si="22"/>
        <v>15</v>
      </c>
      <c r="F272" s="472" t="str">
        <f t="shared" si="24"/>
        <v>pm</v>
      </c>
      <c r="G272" s="472" t="s">
        <v>888</v>
      </c>
      <c r="H272" s="472" t="s">
        <v>386</v>
      </c>
      <c r="I272" s="472" t="s">
        <v>889</v>
      </c>
      <c r="K272" s="473">
        <f t="shared" si="23"/>
        <v>1899.8845696374212</v>
      </c>
      <c r="M272" s="473">
        <v>2000</v>
      </c>
      <c r="O272" s="472">
        <v>1899.8845696374212</v>
      </c>
    </row>
    <row r="273" spans="1:15">
      <c r="A273" s="472">
        <v>5</v>
      </c>
      <c r="C273" s="472">
        <f t="shared" si="20"/>
        <v>60</v>
      </c>
      <c r="D273" s="472">
        <f t="shared" si="21"/>
        <v>60</v>
      </c>
      <c r="E273" s="472">
        <f t="shared" si="22"/>
        <v>15</v>
      </c>
      <c r="F273" s="472" t="str">
        <f t="shared" si="24"/>
        <v>pm</v>
      </c>
      <c r="G273" s="472" t="s">
        <v>890</v>
      </c>
      <c r="H273" s="472" t="s">
        <v>301</v>
      </c>
      <c r="I273" s="472" t="s">
        <v>891</v>
      </c>
      <c r="K273" s="473">
        <f t="shared" si="23"/>
        <v>2082.3894703533642</v>
      </c>
      <c r="M273" s="473">
        <v>2000</v>
      </c>
      <c r="O273" s="472">
        <v>2082.3894703533642</v>
      </c>
    </row>
    <row r="274" spans="1:15">
      <c r="A274" s="472">
        <v>2</v>
      </c>
      <c r="C274" s="472">
        <f t="shared" si="20"/>
        <v>61</v>
      </c>
      <c r="D274" s="472">
        <f t="shared" si="21"/>
        <v>61</v>
      </c>
      <c r="E274" s="472">
        <f t="shared" si="22"/>
        <v>15</v>
      </c>
      <c r="F274" s="472" t="str">
        <f t="shared" si="24"/>
        <v>pm</v>
      </c>
      <c r="G274" s="472" t="s">
        <v>892</v>
      </c>
      <c r="H274" s="472" t="s">
        <v>92</v>
      </c>
      <c r="I274" s="472" t="s">
        <v>893</v>
      </c>
      <c r="K274" s="473">
        <f t="shared" si="23"/>
        <v>2000</v>
      </c>
      <c r="M274" s="473">
        <v>2000</v>
      </c>
    </row>
    <row r="275" spans="1:15">
      <c r="A275" s="472">
        <v>4</v>
      </c>
      <c r="C275" s="472">
        <f t="shared" si="20"/>
        <v>62</v>
      </c>
      <c r="D275" s="472">
        <f t="shared" si="21"/>
        <v>61</v>
      </c>
      <c r="E275" s="472">
        <f t="shared" si="22"/>
        <v>15</v>
      </c>
      <c r="F275" s="472" t="str">
        <f t="shared" si="24"/>
        <v>pm</v>
      </c>
      <c r="G275" s="472" t="s">
        <v>894</v>
      </c>
      <c r="H275" s="472" t="s">
        <v>397</v>
      </c>
      <c r="I275" s="472" t="s">
        <v>895</v>
      </c>
      <c r="K275" s="473">
        <f t="shared" si="23"/>
        <v>2000</v>
      </c>
      <c r="M275" s="473">
        <v>2000</v>
      </c>
    </row>
    <row r="276" spans="1:15">
      <c r="A276" s="472">
        <v>5</v>
      </c>
      <c r="C276" s="472">
        <f t="shared" si="20"/>
        <v>63</v>
      </c>
      <c r="D276" s="472">
        <f t="shared" si="21"/>
        <v>61</v>
      </c>
      <c r="E276" s="472">
        <f t="shared" si="22"/>
        <v>15</v>
      </c>
      <c r="F276" s="472" t="str">
        <f t="shared" si="24"/>
        <v>pm</v>
      </c>
      <c r="G276" s="472" t="s">
        <v>896</v>
      </c>
      <c r="H276" s="472" t="s">
        <v>402</v>
      </c>
      <c r="I276" s="472" t="s">
        <v>897</v>
      </c>
      <c r="K276" s="473">
        <f t="shared" si="23"/>
        <v>2000</v>
      </c>
      <c r="M276" s="473">
        <v>2000</v>
      </c>
    </row>
    <row r="277" spans="1:15">
      <c r="A277" s="472">
        <v>5</v>
      </c>
      <c r="C277" s="472">
        <f t="shared" si="20"/>
        <v>64</v>
      </c>
      <c r="D277" s="472">
        <f t="shared" si="21"/>
        <v>61</v>
      </c>
      <c r="E277" s="472">
        <f t="shared" si="22"/>
        <v>15</v>
      </c>
      <c r="F277" s="472" t="str">
        <f t="shared" si="24"/>
        <v>pm</v>
      </c>
      <c r="G277" s="472" t="s">
        <v>898</v>
      </c>
      <c r="H277" s="472" t="s">
        <v>402</v>
      </c>
      <c r="I277" s="472" t="s">
        <v>899</v>
      </c>
      <c r="K277" s="473">
        <f t="shared" si="23"/>
        <v>2000</v>
      </c>
      <c r="M277" s="473">
        <v>2000</v>
      </c>
    </row>
    <row r="278" spans="1:15">
      <c r="A278" s="472">
        <v>6</v>
      </c>
      <c r="C278" s="472">
        <f t="shared" si="20"/>
        <v>65</v>
      </c>
      <c r="D278" s="472">
        <f t="shared" si="21"/>
        <v>65</v>
      </c>
      <c r="E278" s="472">
        <f t="shared" si="22"/>
        <v>15</v>
      </c>
      <c r="F278" s="472" t="str">
        <f t="shared" si="24"/>
        <v>pm</v>
      </c>
      <c r="G278" s="472" t="s">
        <v>900</v>
      </c>
      <c r="H278" s="472" t="s">
        <v>421</v>
      </c>
      <c r="I278" s="472" t="s">
        <v>901</v>
      </c>
      <c r="K278" s="473">
        <f t="shared" si="23"/>
        <v>2021.5539015085499</v>
      </c>
      <c r="M278" s="473">
        <v>2000</v>
      </c>
      <c r="O278" s="472">
        <v>2021.5539015085499</v>
      </c>
    </row>
    <row r="279" spans="1:15">
      <c r="A279" s="472">
        <v>2</v>
      </c>
      <c r="C279" s="472">
        <f t="shared" si="20"/>
        <v>66</v>
      </c>
      <c r="D279" s="472">
        <f t="shared" si="21"/>
        <v>66</v>
      </c>
      <c r="E279" s="472">
        <f t="shared" si="22"/>
        <v>15</v>
      </c>
      <c r="F279" s="472" t="str">
        <f t="shared" si="24"/>
        <v>cr</v>
      </c>
      <c r="G279" s="472" t="s">
        <v>902</v>
      </c>
      <c r="H279" s="472" t="s">
        <v>405</v>
      </c>
      <c r="I279" s="472" t="s">
        <v>903</v>
      </c>
      <c r="K279" s="473">
        <f t="shared" si="23"/>
        <v>2000</v>
      </c>
      <c r="M279" s="473">
        <v>2000</v>
      </c>
    </row>
    <row r="280" spans="1:15">
      <c r="A280" s="472">
        <v>2</v>
      </c>
      <c r="C280" s="472">
        <f t="shared" si="20"/>
        <v>67</v>
      </c>
      <c r="D280" s="472">
        <f t="shared" si="21"/>
        <v>66</v>
      </c>
      <c r="E280" s="472">
        <f t="shared" si="22"/>
        <v>15</v>
      </c>
      <c r="F280" s="472" t="str">
        <f t="shared" si="24"/>
        <v>pm</v>
      </c>
      <c r="G280" s="472" t="s">
        <v>904</v>
      </c>
      <c r="H280" s="472" t="s">
        <v>154</v>
      </c>
      <c r="I280" s="472" t="s">
        <v>905</v>
      </c>
      <c r="K280" s="473">
        <f t="shared" si="23"/>
        <v>2000</v>
      </c>
      <c r="M280" s="473">
        <v>2000</v>
      </c>
    </row>
    <row r="281" spans="1:15">
      <c r="A281" s="472">
        <v>1</v>
      </c>
      <c r="C281" s="472">
        <f t="shared" si="20"/>
        <v>68</v>
      </c>
      <c r="D281" s="472">
        <f t="shared" si="21"/>
        <v>66</v>
      </c>
      <c r="E281" s="472">
        <f t="shared" si="22"/>
        <v>15</v>
      </c>
      <c r="F281" s="472" t="str">
        <f t="shared" si="24"/>
        <v>pmx</v>
      </c>
      <c r="G281" s="472" t="s">
        <v>906</v>
      </c>
      <c r="H281" s="472" t="s">
        <v>154</v>
      </c>
      <c r="I281" s="472" t="s">
        <v>907</v>
      </c>
      <c r="K281" s="473">
        <f t="shared" si="23"/>
        <v>2000</v>
      </c>
      <c r="M281" s="473">
        <v>2000</v>
      </c>
    </row>
    <row r="282" spans="1:15">
      <c r="A282" s="472">
        <v>5</v>
      </c>
      <c r="C282" s="472">
        <f t="shared" si="20"/>
        <v>69</v>
      </c>
      <c r="D282" s="472">
        <f t="shared" si="21"/>
        <v>66</v>
      </c>
      <c r="E282" s="472">
        <f t="shared" si="22"/>
        <v>15</v>
      </c>
      <c r="F282" s="472" t="str">
        <f t="shared" si="24"/>
        <v>pm</v>
      </c>
      <c r="G282" s="472" t="s">
        <v>908</v>
      </c>
      <c r="H282" s="472" t="s">
        <v>86</v>
      </c>
      <c r="I282" s="472" t="s">
        <v>909</v>
      </c>
      <c r="K282" s="473">
        <f t="shared" si="23"/>
        <v>2000</v>
      </c>
      <c r="M282" s="473">
        <v>2000</v>
      </c>
    </row>
    <row r="283" spans="1:15">
      <c r="A283" s="472">
        <v>1</v>
      </c>
      <c r="C283" s="472">
        <f t="shared" si="20"/>
        <v>70</v>
      </c>
      <c r="D283" s="472">
        <f t="shared" si="21"/>
        <v>66</v>
      </c>
      <c r="E283" s="472">
        <f t="shared" si="22"/>
        <v>15</v>
      </c>
      <c r="F283" s="472" t="str">
        <f t="shared" si="24"/>
        <v>sox</v>
      </c>
      <c r="G283" s="472" t="s">
        <v>910</v>
      </c>
      <c r="H283" s="472" t="s">
        <v>754</v>
      </c>
      <c r="I283" s="472" t="s">
        <v>911</v>
      </c>
      <c r="K283" s="473">
        <f t="shared" si="23"/>
        <v>2000</v>
      </c>
      <c r="M283" s="473">
        <v>2000</v>
      </c>
    </row>
    <row r="284" spans="1:15">
      <c r="A284" s="472">
        <v>2</v>
      </c>
      <c r="C284" s="472">
        <f t="shared" si="20"/>
        <v>1</v>
      </c>
      <c r="D284" s="472">
        <f t="shared" si="21"/>
        <v>1</v>
      </c>
      <c r="E284" s="472">
        <f t="shared" si="22"/>
        <v>16</v>
      </c>
      <c r="F284" s="472" t="str">
        <f t="shared" si="24"/>
        <v>pm</v>
      </c>
      <c r="G284" s="472" t="s">
        <v>912</v>
      </c>
      <c r="H284" s="472" t="s">
        <v>86</v>
      </c>
      <c r="I284" s="472" t="s">
        <v>913</v>
      </c>
      <c r="K284" s="473">
        <f t="shared" si="23"/>
        <v>2700</v>
      </c>
      <c r="M284" s="473">
        <v>2700</v>
      </c>
    </row>
    <row r="285" spans="1:15">
      <c r="A285" s="472">
        <v>4</v>
      </c>
      <c r="C285" s="472">
        <f t="shared" si="20"/>
        <v>2</v>
      </c>
      <c r="D285" s="472">
        <f t="shared" si="21"/>
        <v>2</v>
      </c>
      <c r="E285" s="472">
        <f t="shared" si="22"/>
        <v>16</v>
      </c>
      <c r="F285" s="472" t="str">
        <f t="shared" si="24"/>
        <v>pm</v>
      </c>
      <c r="G285" s="472" t="s">
        <v>914</v>
      </c>
      <c r="H285" s="472" t="s">
        <v>123</v>
      </c>
      <c r="I285" s="472" t="s">
        <v>915</v>
      </c>
      <c r="K285" s="473">
        <f t="shared" si="23"/>
        <v>2541.8096327890298</v>
      </c>
      <c r="M285" s="473">
        <v>2600</v>
      </c>
      <c r="N285" s="472">
        <v>2541.8096327890298</v>
      </c>
    </row>
    <row r="286" spans="1:15">
      <c r="A286" s="472">
        <v>1</v>
      </c>
      <c r="C286" s="472">
        <f t="shared" si="20"/>
        <v>3</v>
      </c>
      <c r="D286" s="472">
        <f t="shared" si="21"/>
        <v>3</v>
      </c>
      <c r="E286" s="472">
        <f t="shared" si="22"/>
        <v>16</v>
      </c>
      <c r="F286" s="472" t="str">
        <f t="shared" si="24"/>
        <v>sox</v>
      </c>
      <c r="G286" s="472" t="s">
        <v>916</v>
      </c>
      <c r="H286" s="472" t="s">
        <v>351</v>
      </c>
      <c r="I286" s="472" t="s">
        <v>917</v>
      </c>
      <c r="K286" s="473">
        <f t="shared" si="23"/>
        <v>2600</v>
      </c>
      <c r="M286" s="473">
        <v>2600</v>
      </c>
    </row>
    <row r="287" spans="1:15">
      <c r="A287" s="472">
        <v>1</v>
      </c>
      <c r="C287" s="472">
        <f t="shared" si="20"/>
        <v>4</v>
      </c>
      <c r="D287" s="472">
        <f t="shared" si="21"/>
        <v>3</v>
      </c>
      <c r="E287" s="472">
        <f t="shared" si="22"/>
        <v>16</v>
      </c>
      <c r="F287" s="472" t="str">
        <f t="shared" si="24"/>
        <v>crx</v>
      </c>
      <c r="G287" s="472" t="s">
        <v>918</v>
      </c>
      <c r="H287" s="472" t="s">
        <v>340</v>
      </c>
      <c r="I287" s="472" t="s">
        <v>919</v>
      </c>
      <c r="K287" s="473">
        <f t="shared" si="23"/>
        <v>2600</v>
      </c>
      <c r="M287" s="473">
        <v>2600</v>
      </c>
    </row>
    <row r="288" spans="1:15">
      <c r="A288" s="472">
        <v>1</v>
      </c>
      <c r="C288" s="472">
        <f t="shared" si="20"/>
        <v>5</v>
      </c>
      <c r="D288" s="472">
        <f t="shared" si="21"/>
        <v>3</v>
      </c>
      <c r="E288" s="472">
        <f t="shared" si="22"/>
        <v>16</v>
      </c>
      <c r="F288" s="472" t="str">
        <f t="shared" si="24"/>
        <v>crx</v>
      </c>
      <c r="G288" s="472" t="s">
        <v>920</v>
      </c>
      <c r="H288" s="472" t="s">
        <v>340</v>
      </c>
      <c r="I288" s="472" t="s">
        <v>921</v>
      </c>
      <c r="K288" s="473">
        <f t="shared" si="23"/>
        <v>2600</v>
      </c>
      <c r="M288" s="473">
        <v>2600</v>
      </c>
    </row>
    <row r="289" spans="1:14">
      <c r="A289" s="472">
        <v>2</v>
      </c>
      <c r="C289" s="472">
        <f t="shared" si="20"/>
        <v>6</v>
      </c>
      <c r="D289" s="472">
        <f t="shared" si="21"/>
        <v>6</v>
      </c>
      <c r="E289" s="472">
        <f t="shared" si="22"/>
        <v>16</v>
      </c>
      <c r="F289" s="472" t="str">
        <f t="shared" si="24"/>
        <v>pm</v>
      </c>
      <c r="G289" s="472" t="s">
        <v>922</v>
      </c>
      <c r="H289" s="472" t="s">
        <v>370</v>
      </c>
      <c r="I289" s="472" t="s">
        <v>923</v>
      </c>
      <c r="K289" s="473">
        <f t="shared" si="23"/>
        <v>2733.5481451312226</v>
      </c>
      <c r="M289" s="473">
        <v>2600</v>
      </c>
      <c r="N289" s="472">
        <v>2733.5481451312226</v>
      </c>
    </row>
    <row r="290" spans="1:14">
      <c r="A290" s="472">
        <v>1</v>
      </c>
      <c r="C290" s="472">
        <f t="shared" si="20"/>
        <v>7</v>
      </c>
      <c r="D290" s="472">
        <f t="shared" si="21"/>
        <v>7</v>
      </c>
      <c r="E290" s="472">
        <f t="shared" si="22"/>
        <v>16</v>
      </c>
      <c r="F290" s="472" t="str">
        <f t="shared" si="24"/>
        <v>crx</v>
      </c>
      <c r="G290" s="472" t="s">
        <v>924</v>
      </c>
      <c r="H290" s="472" t="s">
        <v>778</v>
      </c>
      <c r="I290" s="472" t="s">
        <v>925</v>
      </c>
      <c r="K290" s="473">
        <f t="shared" si="23"/>
        <v>2600</v>
      </c>
      <c r="M290" s="473">
        <v>2600</v>
      </c>
    </row>
    <row r="291" spans="1:14">
      <c r="A291" s="472">
        <v>4</v>
      </c>
      <c r="C291" s="472">
        <f t="shared" si="20"/>
        <v>8</v>
      </c>
      <c r="D291" s="472">
        <f t="shared" si="21"/>
        <v>8</v>
      </c>
      <c r="E291" s="472">
        <f t="shared" si="22"/>
        <v>16</v>
      </c>
      <c r="F291" s="472" t="str">
        <f t="shared" si="24"/>
        <v>pm</v>
      </c>
      <c r="G291" s="472" t="s">
        <v>926</v>
      </c>
      <c r="H291" s="472" t="s">
        <v>331</v>
      </c>
      <c r="I291" s="472" t="s">
        <v>927</v>
      </c>
      <c r="K291" s="473">
        <f t="shared" si="23"/>
        <v>2526.5213768802482</v>
      </c>
      <c r="M291" s="473">
        <v>2600</v>
      </c>
      <c r="N291" s="472">
        <v>2526.5213768802482</v>
      </c>
    </row>
    <row r="292" spans="1:14">
      <c r="A292" s="472">
        <v>4</v>
      </c>
      <c r="C292" s="472">
        <f t="shared" si="20"/>
        <v>9</v>
      </c>
      <c r="D292" s="472">
        <f t="shared" si="21"/>
        <v>9</v>
      </c>
      <c r="E292" s="472">
        <f t="shared" si="22"/>
        <v>16</v>
      </c>
      <c r="F292" s="472" t="str">
        <f t="shared" si="24"/>
        <v>pm</v>
      </c>
      <c r="G292" s="472" t="s">
        <v>928</v>
      </c>
      <c r="H292" s="472" t="s">
        <v>383</v>
      </c>
      <c r="I292" s="472" t="s">
        <v>929</v>
      </c>
      <c r="K292" s="473">
        <f t="shared" si="23"/>
        <v>2579.1327115348799</v>
      </c>
      <c r="M292" s="473">
        <v>2600</v>
      </c>
      <c r="N292" s="472">
        <v>2579.1327115348799</v>
      </c>
    </row>
    <row r="293" spans="1:14">
      <c r="A293" s="472">
        <v>6</v>
      </c>
      <c r="C293" s="472">
        <f t="shared" si="20"/>
        <v>10</v>
      </c>
      <c r="D293" s="472">
        <f t="shared" si="21"/>
        <v>10</v>
      </c>
      <c r="E293" s="472">
        <f t="shared" si="22"/>
        <v>16</v>
      </c>
      <c r="F293" s="472" t="str">
        <f t="shared" si="24"/>
        <v>pm</v>
      </c>
      <c r="G293" s="472" t="s">
        <v>930</v>
      </c>
      <c r="H293" s="472" t="s">
        <v>386</v>
      </c>
      <c r="I293" s="472" t="s">
        <v>931</v>
      </c>
      <c r="K293" s="473">
        <f t="shared" si="23"/>
        <v>2557.2310207697242</v>
      </c>
      <c r="M293" s="473">
        <v>2600</v>
      </c>
      <c r="N293" s="472">
        <v>2557.2310207697242</v>
      </c>
    </row>
    <row r="294" spans="1:14">
      <c r="A294" s="472">
        <v>2</v>
      </c>
      <c r="C294" s="472">
        <f t="shared" si="20"/>
        <v>11</v>
      </c>
      <c r="D294" s="472">
        <f t="shared" si="21"/>
        <v>11</v>
      </c>
      <c r="E294" s="472">
        <f t="shared" si="22"/>
        <v>16</v>
      </c>
      <c r="F294" s="472" t="str">
        <f t="shared" si="24"/>
        <v>pm</v>
      </c>
      <c r="G294" s="472" t="s">
        <v>932</v>
      </c>
      <c r="H294" s="472" t="s">
        <v>391</v>
      </c>
      <c r="I294" s="472" t="s">
        <v>933</v>
      </c>
      <c r="K294" s="473">
        <f t="shared" si="23"/>
        <v>2547.448427057398</v>
      </c>
      <c r="M294" s="473">
        <v>2600</v>
      </c>
      <c r="N294" s="472">
        <v>2547.448427057398</v>
      </c>
    </row>
    <row r="295" spans="1:14">
      <c r="A295" s="472">
        <v>1</v>
      </c>
      <c r="C295" s="472">
        <f t="shared" si="20"/>
        <v>12</v>
      </c>
      <c r="D295" s="472">
        <f t="shared" si="21"/>
        <v>12</v>
      </c>
      <c r="E295" s="472">
        <f t="shared" si="22"/>
        <v>16</v>
      </c>
      <c r="F295" s="472" t="str">
        <f t="shared" si="24"/>
        <v>pmx</v>
      </c>
      <c r="G295" s="472" t="s">
        <v>934</v>
      </c>
      <c r="H295" s="472" t="s">
        <v>449</v>
      </c>
      <c r="I295" s="472" t="s">
        <v>935</v>
      </c>
      <c r="K295" s="473">
        <f t="shared" si="23"/>
        <v>2600</v>
      </c>
      <c r="M295" s="473">
        <v>2600</v>
      </c>
    </row>
    <row r="296" spans="1:14">
      <c r="A296" s="472">
        <v>1</v>
      </c>
      <c r="C296" s="472">
        <f t="shared" si="20"/>
        <v>13</v>
      </c>
      <c r="D296" s="472">
        <f t="shared" si="21"/>
        <v>12</v>
      </c>
      <c r="E296" s="472">
        <f t="shared" si="22"/>
        <v>16</v>
      </c>
      <c r="F296" s="472" t="str">
        <f t="shared" si="24"/>
        <v>pmx</v>
      </c>
      <c r="G296" s="472" t="s">
        <v>936</v>
      </c>
      <c r="H296" s="472" t="s">
        <v>449</v>
      </c>
      <c r="I296" s="472" t="s">
        <v>937</v>
      </c>
      <c r="K296" s="473">
        <f t="shared" si="23"/>
        <v>2600</v>
      </c>
      <c r="M296" s="473">
        <v>2600</v>
      </c>
    </row>
    <row r="297" spans="1:14">
      <c r="A297" s="472">
        <v>4</v>
      </c>
      <c r="C297" s="472">
        <f t="shared" si="20"/>
        <v>14</v>
      </c>
      <c r="D297" s="472">
        <f t="shared" si="21"/>
        <v>14</v>
      </c>
      <c r="E297" s="472">
        <f t="shared" si="22"/>
        <v>16</v>
      </c>
      <c r="F297" s="472" t="str">
        <f t="shared" si="24"/>
        <v>pm</v>
      </c>
      <c r="G297" s="472" t="s">
        <v>938</v>
      </c>
      <c r="H297" s="472" t="s">
        <v>799</v>
      </c>
      <c r="I297" s="472" t="s">
        <v>939</v>
      </c>
      <c r="K297" s="473">
        <f t="shared" si="23"/>
        <v>2611.7110371533245</v>
      </c>
      <c r="M297" s="473">
        <v>2600</v>
      </c>
      <c r="N297" s="472">
        <v>2611.7110371533245</v>
      </c>
    </row>
    <row r="298" spans="1:14">
      <c r="A298" s="472">
        <v>1</v>
      </c>
      <c r="C298" s="472">
        <f t="shared" si="20"/>
        <v>15</v>
      </c>
      <c r="D298" s="472">
        <f t="shared" si="21"/>
        <v>15</v>
      </c>
      <c r="E298" s="472">
        <f t="shared" si="22"/>
        <v>16</v>
      </c>
      <c r="F298" s="472" t="str">
        <f t="shared" si="24"/>
        <v>pmx</v>
      </c>
      <c r="G298" s="472" t="s">
        <v>940</v>
      </c>
      <c r="H298" s="472" t="s">
        <v>394</v>
      </c>
      <c r="I298" s="472" t="s">
        <v>941</v>
      </c>
      <c r="K298" s="473">
        <f t="shared" si="23"/>
        <v>2600</v>
      </c>
      <c r="M298" s="473">
        <v>2600</v>
      </c>
    </row>
    <row r="299" spans="1:14">
      <c r="A299" s="472">
        <v>1</v>
      </c>
      <c r="C299" s="472">
        <f t="shared" si="20"/>
        <v>16</v>
      </c>
      <c r="D299" s="472">
        <f t="shared" si="21"/>
        <v>15</v>
      </c>
      <c r="E299" s="472">
        <f t="shared" si="22"/>
        <v>16</v>
      </c>
      <c r="F299" s="472" t="str">
        <f t="shared" si="24"/>
        <v>pmx</v>
      </c>
      <c r="G299" s="472" t="s">
        <v>942</v>
      </c>
      <c r="H299" s="472" t="s">
        <v>421</v>
      </c>
      <c r="I299" s="472" t="s">
        <v>943</v>
      </c>
      <c r="K299" s="473">
        <f t="shared" si="23"/>
        <v>2600</v>
      </c>
      <c r="M299" s="473">
        <v>2600</v>
      </c>
    </row>
    <row r="300" spans="1:14">
      <c r="A300" s="472">
        <v>2</v>
      </c>
      <c r="C300" s="472">
        <f t="shared" si="20"/>
        <v>17</v>
      </c>
      <c r="D300" s="472">
        <f t="shared" si="21"/>
        <v>15</v>
      </c>
      <c r="E300" s="472">
        <f t="shared" si="22"/>
        <v>16</v>
      </c>
      <c r="F300" s="472" t="str">
        <f t="shared" si="24"/>
        <v>pm</v>
      </c>
      <c r="G300" s="472" t="s">
        <v>944</v>
      </c>
      <c r="H300" s="472" t="s">
        <v>154</v>
      </c>
      <c r="I300" s="472" t="s">
        <v>945</v>
      </c>
      <c r="K300" s="473">
        <f t="shared" si="23"/>
        <v>2600</v>
      </c>
      <c r="M300" s="473">
        <v>2600</v>
      </c>
    </row>
    <row r="301" spans="1:14">
      <c r="A301" s="472">
        <v>2</v>
      </c>
      <c r="C301" s="472">
        <f t="shared" si="20"/>
        <v>18</v>
      </c>
      <c r="D301" s="472">
        <f t="shared" si="21"/>
        <v>15</v>
      </c>
      <c r="E301" s="472">
        <f t="shared" si="22"/>
        <v>16</v>
      </c>
      <c r="F301" s="472" t="str">
        <f t="shared" si="24"/>
        <v>pm</v>
      </c>
      <c r="G301" s="472" t="s">
        <v>946</v>
      </c>
      <c r="H301" s="472" t="s">
        <v>154</v>
      </c>
      <c r="I301" s="472" t="s">
        <v>947</v>
      </c>
      <c r="K301" s="473">
        <f t="shared" si="23"/>
        <v>2600</v>
      </c>
      <c r="M301" s="473">
        <v>2600</v>
      </c>
    </row>
    <row r="302" spans="1:14">
      <c r="A302" s="472">
        <v>2</v>
      </c>
      <c r="C302" s="472">
        <f t="shared" si="20"/>
        <v>19</v>
      </c>
      <c r="D302" s="472">
        <f t="shared" si="21"/>
        <v>15</v>
      </c>
      <c r="E302" s="472">
        <f t="shared" si="22"/>
        <v>16</v>
      </c>
      <c r="F302" s="472" t="str">
        <f t="shared" si="24"/>
        <v>pm</v>
      </c>
      <c r="G302" s="472" t="s">
        <v>948</v>
      </c>
      <c r="H302" s="472" t="s">
        <v>154</v>
      </c>
      <c r="I302" s="472" t="s">
        <v>949</v>
      </c>
      <c r="K302" s="473">
        <f t="shared" si="23"/>
        <v>2600</v>
      </c>
      <c r="M302" s="473">
        <v>2600</v>
      </c>
    </row>
    <row r="303" spans="1:14">
      <c r="A303" s="472">
        <v>1</v>
      </c>
      <c r="C303" s="472">
        <f t="shared" si="20"/>
        <v>20</v>
      </c>
      <c r="D303" s="472">
        <f t="shared" si="21"/>
        <v>15</v>
      </c>
      <c r="E303" s="472">
        <f t="shared" si="22"/>
        <v>16</v>
      </c>
      <c r="F303" s="472" t="str">
        <f t="shared" si="24"/>
        <v>sox</v>
      </c>
      <c r="G303" s="472" t="s">
        <v>950</v>
      </c>
      <c r="H303" s="472" t="s">
        <v>630</v>
      </c>
      <c r="I303" s="472" t="s">
        <v>951</v>
      </c>
      <c r="K303" s="473">
        <f t="shared" si="23"/>
        <v>2600</v>
      </c>
      <c r="M303" s="473">
        <v>2600</v>
      </c>
    </row>
    <row r="304" spans="1:14">
      <c r="A304" s="472">
        <v>2</v>
      </c>
      <c r="C304" s="472">
        <f t="shared" si="20"/>
        <v>21</v>
      </c>
      <c r="D304" s="472">
        <f t="shared" si="21"/>
        <v>21</v>
      </c>
      <c r="E304" s="472">
        <f t="shared" si="22"/>
        <v>16</v>
      </c>
      <c r="F304" s="472" t="str">
        <f t="shared" si="24"/>
        <v>pm</v>
      </c>
      <c r="G304" s="472" t="s">
        <v>952</v>
      </c>
      <c r="H304" s="472" t="s">
        <v>501</v>
      </c>
      <c r="I304" s="472" t="s">
        <v>953</v>
      </c>
      <c r="K304" s="473">
        <f t="shared" si="23"/>
        <v>2693.2412396436735</v>
      </c>
      <c r="M304" s="473">
        <v>2600</v>
      </c>
      <c r="N304" s="472">
        <v>2693.2412396436735</v>
      </c>
    </row>
    <row r="305" spans="1:15">
      <c r="A305" s="472">
        <v>4</v>
      </c>
      <c r="C305" s="472">
        <f t="shared" si="20"/>
        <v>22</v>
      </c>
      <c r="D305" s="472">
        <f t="shared" si="21"/>
        <v>22</v>
      </c>
      <c r="E305" s="472">
        <f t="shared" si="22"/>
        <v>16</v>
      </c>
      <c r="F305" s="472" t="str">
        <f t="shared" si="24"/>
        <v>pm</v>
      </c>
      <c r="G305" s="472" t="s">
        <v>954</v>
      </c>
      <c r="H305" s="472" t="s">
        <v>86</v>
      </c>
      <c r="I305" s="472" t="s">
        <v>955</v>
      </c>
      <c r="K305" s="473">
        <f t="shared" si="23"/>
        <v>2600</v>
      </c>
      <c r="M305" s="473">
        <v>2600</v>
      </c>
    </row>
    <row r="306" spans="1:15">
      <c r="A306" s="472">
        <v>1</v>
      </c>
      <c r="C306" s="472">
        <f t="shared" si="20"/>
        <v>23</v>
      </c>
      <c r="D306" s="472">
        <f t="shared" si="21"/>
        <v>22</v>
      </c>
      <c r="E306" s="472">
        <f t="shared" si="22"/>
        <v>16</v>
      </c>
      <c r="F306" s="472" t="str">
        <f t="shared" si="24"/>
        <v>crx</v>
      </c>
      <c r="G306" s="472" t="s">
        <v>956</v>
      </c>
      <c r="H306" s="472" t="s">
        <v>470</v>
      </c>
      <c r="I306" s="472" t="s">
        <v>957</v>
      </c>
      <c r="K306" s="473">
        <f t="shared" si="23"/>
        <v>2600</v>
      </c>
      <c r="M306" s="473">
        <v>2600</v>
      </c>
    </row>
    <row r="307" spans="1:15">
      <c r="A307" s="472">
        <v>2</v>
      </c>
      <c r="C307" s="472">
        <f t="shared" si="20"/>
        <v>24</v>
      </c>
      <c r="D307" s="472">
        <f t="shared" si="21"/>
        <v>22</v>
      </c>
      <c r="E307" s="472">
        <f t="shared" si="22"/>
        <v>16</v>
      </c>
      <c r="F307" s="472" t="str">
        <f t="shared" si="24"/>
        <v>pm</v>
      </c>
      <c r="G307" s="472" t="s">
        <v>958</v>
      </c>
      <c r="H307" s="472" t="s">
        <v>416</v>
      </c>
      <c r="I307" s="472" t="s">
        <v>959</v>
      </c>
      <c r="K307" s="473">
        <f t="shared" si="23"/>
        <v>2600</v>
      </c>
      <c r="M307" s="473">
        <v>2600</v>
      </c>
    </row>
    <row r="308" spans="1:15">
      <c r="A308" s="472">
        <v>1</v>
      </c>
      <c r="C308" s="472">
        <f t="shared" si="20"/>
        <v>25</v>
      </c>
      <c r="D308" s="472">
        <f t="shared" si="21"/>
        <v>22</v>
      </c>
      <c r="E308" s="472">
        <f t="shared" si="22"/>
        <v>16</v>
      </c>
      <c r="F308" s="472" t="str">
        <f t="shared" si="24"/>
        <v>crx</v>
      </c>
      <c r="G308" s="472" t="s">
        <v>960</v>
      </c>
      <c r="H308" s="472" t="s">
        <v>961</v>
      </c>
      <c r="I308" s="472" t="s">
        <v>962</v>
      </c>
      <c r="K308" s="473">
        <f t="shared" si="23"/>
        <v>2600</v>
      </c>
      <c r="M308" s="473">
        <v>2600</v>
      </c>
    </row>
    <row r="309" spans="1:15">
      <c r="A309" s="472">
        <v>2</v>
      </c>
      <c r="C309" s="472">
        <f t="shared" si="20"/>
        <v>26</v>
      </c>
      <c r="D309" s="472">
        <f t="shared" si="21"/>
        <v>26</v>
      </c>
      <c r="E309" s="472">
        <f t="shared" si="22"/>
        <v>16</v>
      </c>
      <c r="F309" s="472" t="str">
        <f t="shared" si="24"/>
        <v>cr</v>
      </c>
      <c r="G309" s="472" t="s">
        <v>963</v>
      </c>
      <c r="H309" s="472" t="s">
        <v>843</v>
      </c>
      <c r="I309" s="472" t="s">
        <v>964</v>
      </c>
      <c r="K309" s="473">
        <f t="shared" si="23"/>
        <v>2619.8630631761116</v>
      </c>
      <c r="M309" s="473">
        <v>2600</v>
      </c>
      <c r="N309" s="472">
        <v>2619.8630631761116</v>
      </c>
    </row>
    <row r="310" spans="1:15">
      <c r="A310" s="472">
        <v>1</v>
      </c>
      <c r="C310" s="472">
        <f t="shared" si="20"/>
        <v>27</v>
      </c>
      <c r="D310" s="472">
        <f t="shared" si="21"/>
        <v>27</v>
      </c>
      <c r="E310" s="472">
        <f t="shared" si="22"/>
        <v>16</v>
      </c>
      <c r="F310" s="472" t="str">
        <f t="shared" si="24"/>
        <v>sox</v>
      </c>
      <c r="G310" s="472" t="s">
        <v>965</v>
      </c>
      <c r="H310" s="472" t="s">
        <v>754</v>
      </c>
      <c r="I310" s="472" t="s">
        <v>966</v>
      </c>
      <c r="K310" s="473">
        <f t="shared" si="23"/>
        <v>2600</v>
      </c>
      <c r="M310" s="473">
        <v>2600</v>
      </c>
    </row>
    <row r="311" spans="1:15">
      <c r="A311" s="472">
        <v>3</v>
      </c>
      <c r="C311" s="472">
        <f t="shared" si="20"/>
        <v>28</v>
      </c>
      <c r="D311" s="472">
        <f t="shared" si="21"/>
        <v>28</v>
      </c>
      <c r="E311" s="472">
        <f t="shared" si="22"/>
        <v>16</v>
      </c>
      <c r="F311" s="472" t="str">
        <f t="shared" si="24"/>
        <v>pm</v>
      </c>
      <c r="G311" s="472" t="s">
        <v>967</v>
      </c>
      <c r="H311" s="472" t="s">
        <v>654</v>
      </c>
      <c r="I311" s="472" t="s">
        <v>968</v>
      </c>
      <c r="K311" s="473">
        <f t="shared" si="23"/>
        <v>2727.3143647802945</v>
      </c>
      <c r="M311" s="473">
        <v>2600</v>
      </c>
      <c r="N311" s="472">
        <v>2622.9403095455273</v>
      </c>
      <c r="O311" s="472">
        <v>2727.3143647802945</v>
      </c>
    </row>
    <row r="312" spans="1:15">
      <c r="A312" s="472">
        <v>4</v>
      </c>
      <c r="C312" s="472">
        <f t="shared" si="20"/>
        <v>29</v>
      </c>
      <c r="D312" s="472">
        <f t="shared" si="21"/>
        <v>29</v>
      </c>
      <c r="E312" s="472">
        <f t="shared" si="22"/>
        <v>16</v>
      </c>
      <c r="F312" s="472" t="str">
        <f t="shared" si="24"/>
        <v>pm</v>
      </c>
      <c r="G312" s="472" t="s">
        <v>969</v>
      </c>
      <c r="H312" s="472" t="s">
        <v>654</v>
      </c>
      <c r="I312" s="472" t="s">
        <v>970</v>
      </c>
      <c r="K312" s="473">
        <f t="shared" si="23"/>
        <v>2521.2497172214998</v>
      </c>
      <c r="M312" s="473">
        <v>2600</v>
      </c>
      <c r="N312" s="472">
        <v>2521.2497172214998</v>
      </c>
    </row>
    <row r="313" spans="1:15">
      <c r="A313" s="472">
        <v>1</v>
      </c>
      <c r="C313" s="472">
        <f t="shared" si="20"/>
        <v>30</v>
      </c>
      <c r="D313" s="472">
        <f t="shared" si="21"/>
        <v>30</v>
      </c>
      <c r="E313" s="472">
        <f t="shared" si="22"/>
        <v>16</v>
      </c>
      <c r="F313" s="472" t="str">
        <f t="shared" si="24"/>
        <v>pmx</v>
      </c>
      <c r="G313" s="472" t="s">
        <v>971</v>
      </c>
      <c r="H313" s="472" t="s">
        <v>346</v>
      </c>
      <c r="I313" s="472" t="s">
        <v>972</v>
      </c>
      <c r="K313" s="473">
        <f t="shared" si="23"/>
        <v>2600</v>
      </c>
      <c r="M313" s="473">
        <v>2600</v>
      </c>
    </row>
    <row r="314" spans="1:15">
      <c r="A314" s="472">
        <v>1</v>
      </c>
      <c r="C314" s="472">
        <f t="shared" si="20"/>
        <v>31</v>
      </c>
      <c r="D314" s="472">
        <f t="shared" si="21"/>
        <v>30</v>
      </c>
      <c r="E314" s="472">
        <f t="shared" si="22"/>
        <v>16</v>
      </c>
      <c r="F314" s="472" t="str">
        <f t="shared" si="24"/>
        <v>pmx</v>
      </c>
      <c r="G314" s="472" t="s">
        <v>973</v>
      </c>
      <c r="H314" s="472" t="s">
        <v>346</v>
      </c>
      <c r="I314" s="472" t="s">
        <v>974</v>
      </c>
      <c r="K314" s="473">
        <f t="shared" si="23"/>
        <v>2600</v>
      </c>
      <c r="M314" s="473">
        <v>2600</v>
      </c>
    </row>
    <row r="315" spans="1:15">
      <c r="A315" s="472">
        <v>1</v>
      </c>
      <c r="C315" s="472">
        <f t="shared" si="20"/>
        <v>32</v>
      </c>
      <c r="D315" s="472">
        <f t="shared" si="21"/>
        <v>30</v>
      </c>
      <c r="E315" s="472">
        <f t="shared" si="22"/>
        <v>16</v>
      </c>
      <c r="F315" s="472" t="str">
        <f t="shared" si="24"/>
        <v>pmx</v>
      </c>
      <c r="G315" s="472" t="s">
        <v>975</v>
      </c>
      <c r="H315" s="472" t="s">
        <v>346</v>
      </c>
      <c r="I315" s="472" t="s">
        <v>976</v>
      </c>
      <c r="K315" s="473">
        <f t="shared" si="23"/>
        <v>2600</v>
      </c>
      <c r="M315" s="473">
        <v>2600</v>
      </c>
    </row>
    <row r="316" spans="1:15">
      <c r="A316" s="472">
        <v>3</v>
      </c>
      <c r="C316" s="472">
        <f t="shared" si="20"/>
        <v>33</v>
      </c>
      <c r="D316" s="472">
        <f t="shared" si="21"/>
        <v>30</v>
      </c>
      <c r="E316" s="472">
        <f t="shared" si="22"/>
        <v>16</v>
      </c>
      <c r="F316" s="472" t="str">
        <f t="shared" si="24"/>
        <v>pm</v>
      </c>
      <c r="G316" s="472" t="s">
        <v>977</v>
      </c>
      <c r="H316" s="472" t="s">
        <v>483</v>
      </c>
      <c r="I316" s="472" t="s">
        <v>978</v>
      </c>
      <c r="K316" s="473">
        <f t="shared" si="23"/>
        <v>2600</v>
      </c>
      <c r="M316" s="473">
        <v>2600</v>
      </c>
    </row>
    <row r="317" spans="1:15">
      <c r="A317" s="472">
        <v>7</v>
      </c>
      <c r="C317" s="472">
        <f t="shared" si="20"/>
        <v>34</v>
      </c>
      <c r="D317" s="472">
        <f t="shared" si="21"/>
        <v>34</v>
      </c>
      <c r="E317" s="472">
        <f t="shared" si="22"/>
        <v>16</v>
      </c>
      <c r="F317" s="472" t="str">
        <f t="shared" si="24"/>
        <v>pm</v>
      </c>
      <c r="G317" s="472" t="s">
        <v>979</v>
      </c>
      <c r="H317" s="472" t="s">
        <v>512</v>
      </c>
      <c r="I317" s="472" t="s">
        <v>980</v>
      </c>
      <c r="K317" s="473">
        <f t="shared" si="23"/>
        <v>2497.3163076923242</v>
      </c>
      <c r="M317" s="473">
        <v>2571.4285714285716</v>
      </c>
      <c r="N317" s="472">
        <v>2497.3163076923242</v>
      </c>
    </row>
    <row r="318" spans="1:15">
      <c r="A318" s="472">
        <v>4</v>
      </c>
      <c r="C318" s="472">
        <f t="shared" si="20"/>
        <v>35</v>
      </c>
      <c r="D318" s="472">
        <f t="shared" si="21"/>
        <v>35</v>
      </c>
      <c r="E318" s="472">
        <f t="shared" si="22"/>
        <v>16</v>
      </c>
      <c r="F318" s="472" t="str">
        <f t="shared" si="24"/>
        <v>pm</v>
      </c>
      <c r="G318" s="472" t="s">
        <v>981</v>
      </c>
      <c r="H318" s="472" t="s">
        <v>402</v>
      </c>
      <c r="I318" s="472" t="s">
        <v>982</v>
      </c>
      <c r="K318" s="473">
        <f t="shared" si="23"/>
        <v>2471.3499188774426</v>
      </c>
      <c r="M318" s="473">
        <v>2550</v>
      </c>
      <c r="O318" s="472">
        <v>2471.3499188774426</v>
      </c>
    </row>
    <row r="319" spans="1:15">
      <c r="A319" s="472">
        <v>6</v>
      </c>
      <c r="C319" s="472">
        <f t="shared" si="20"/>
        <v>36</v>
      </c>
      <c r="D319" s="472">
        <f t="shared" si="21"/>
        <v>36</v>
      </c>
      <c r="E319" s="472">
        <f t="shared" si="22"/>
        <v>16</v>
      </c>
      <c r="F319" s="472" t="str">
        <f t="shared" si="24"/>
        <v>pm</v>
      </c>
      <c r="G319" s="472" t="s">
        <v>983</v>
      </c>
      <c r="H319" s="472" t="s">
        <v>386</v>
      </c>
      <c r="I319" s="472" t="s">
        <v>984</v>
      </c>
      <c r="K319" s="473">
        <f t="shared" si="23"/>
        <v>2411.485729701677</v>
      </c>
      <c r="M319" s="473">
        <v>2533.3333333333335</v>
      </c>
      <c r="O319" s="472">
        <v>2411.485729701677</v>
      </c>
    </row>
    <row r="320" spans="1:15">
      <c r="A320" s="472">
        <v>3</v>
      </c>
      <c r="C320" s="472">
        <f t="shared" si="20"/>
        <v>37</v>
      </c>
      <c r="D320" s="472">
        <f t="shared" si="21"/>
        <v>37</v>
      </c>
      <c r="E320" s="472">
        <f t="shared" si="22"/>
        <v>16</v>
      </c>
      <c r="F320" s="472" t="str">
        <f t="shared" si="24"/>
        <v>pm</v>
      </c>
      <c r="G320" s="472" t="s">
        <v>985</v>
      </c>
      <c r="H320" s="472" t="s">
        <v>408</v>
      </c>
      <c r="I320" s="472" t="s">
        <v>986</v>
      </c>
      <c r="K320" s="473">
        <f t="shared" si="23"/>
        <v>2435.20783882963</v>
      </c>
      <c r="M320" s="473">
        <v>2466.6666666666665</v>
      </c>
      <c r="O320" s="472">
        <v>2435.20783882963</v>
      </c>
    </row>
    <row r="321" spans="1:15">
      <c r="A321" s="472">
        <v>5</v>
      </c>
      <c r="C321" s="472">
        <f t="shared" si="20"/>
        <v>38</v>
      </c>
      <c r="D321" s="472">
        <f t="shared" si="21"/>
        <v>38</v>
      </c>
      <c r="E321" s="472">
        <f t="shared" si="22"/>
        <v>16</v>
      </c>
      <c r="F321" s="472" t="str">
        <f t="shared" si="24"/>
        <v>pm</v>
      </c>
      <c r="G321" s="472" t="s">
        <v>987</v>
      </c>
      <c r="H321" s="472" t="s">
        <v>337</v>
      </c>
      <c r="I321" s="472" t="s">
        <v>988</v>
      </c>
      <c r="K321" s="473">
        <f t="shared" si="23"/>
        <v>2444.6903233816761</v>
      </c>
      <c r="M321" s="473">
        <v>2360</v>
      </c>
      <c r="O321" s="472">
        <v>2444.6903233816761</v>
      </c>
    </row>
    <row r="322" spans="1:15">
      <c r="A322" s="472">
        <v>5</v>
      </c>
      <c r="C322" s="472">
        <f t="shared" ref="C322:C385" si="25">IF(E322=E321,C321+1,1)</f>
        <v>39</v>
      </c>
      <c r="D322" s="472">
        <f t="shared" ref="D322:D385" si="26">IF(K322=K321,D321,C322)</f>
        <v>39</v>
      </c>
      <c r="E322" s="472">
        <f t="shared" ref="E322:E385" si="27">10+VALUE(RIGHT(LEFT(G322,3),1))</f>
        <v>16</v>
      </c>
      <c r="F322" s="472" t="str">
        <f t="shared" si="24"/>
        <v>pm</v>
      </c>
      <c r="G322" s="472" t="s">
        <v>989</v>
      </c>
      <c r="H322" s="472" t="s">
        <v>990</v>
      </c>
      <c r="I322" s="472" t="s">
        <v>991</v>
      </c>
      <c r="K322" s="473">
        <f t="shared" ref="K322:K385" si="28">LOOKUP(1E+100,M322:AC322)</f>
        <v>2281.9805420730331</v>
      </c>
      <c r="M322" s="473">
        <v>2320</v>
      </c>
      <c r="O322" s="472">
        <v>2281.9805420730331</v>
      </c>
    </row>
    <row r="323" spans="1:15">
      <c r="A323" s="472">
        <v>5</v>
      </c>
      <c r="C323" s="472">
        <f t="shared" si="25"/>
        <v>40</v>
      </c>
      <c r="D323" s="472">
        <f t="shared" si="26"/>
        <v>40</v>
      </c>
      <c r="E323" s="472">
        <f t="shared" si="27"/>
        <v>16</v>
      </c>
      <c r="F323" s="472" t="str">
        <f t="shared" ref="F323:F386" si="29">RIGHT(G323,2) &amp; IF(A323&lt;2,"x","")</f>
        <v>pm</v>
      </c>
      <c r="G323" s="472" t="s">
        <v>992</v>
      </c>
      <c r="H323" s="472" t="s">
        <v>671</v>
      </c>
      <c r="I323" s="472" t="s">
        <v>993</v>
      </c>
      <c r="K323" s="473">
        <f t="shared" si="28"/>
        <v>2254.6722447846205</v>
      </c>
      <c r="M323" s="473">
        <v>2200</v>
      </c>
      <c r="O323" s="472">
        <v>2254.6722447846205</v>
      </c>
    </row>
    <row r="324" spans="1:15">
      <c r="A324" s="472">
        <v>1</v>
      </c>
      <c r="C324" s="472">
        <f t="shared" si="25"/>
        <v>41</v>
      </c>
      <c r="D324" s="472">
        <f t="shared" si="26"/>
        <v>41</v>
      </c>
      <c r="E324" s="472">
        <f t="shared" si="27"/>
        <v>16</v>
      </c>
      <c r="F324" s="472" t="str">
        <f t="shared" si="29"/>
        <v>pmx</v>
      </c>
      <c r="G324" s="472" t="s">
        <v>994</v>
      </c>
      <c r="H324" s="472" t="s">
        <v>343</v>
      </c>
      <c r="I324" s="472" t="s">
        <v>995</v>
      </c>
      <c r="K324" s="473">
        <f t="shared" si="28"/>
        <v>2319.0536224706743</v>
      </c>
      <c r="M324" s="473">
        <v>2200</v>
      </c>
      <c r="O324" s="472">
        <v>2319.0536224706743</v>
      </c>
    </row>
    <row r="325" spans="1:15">
      <c r="A325" s="472">
        <v>6</v>
      </c>
      <c r="C325" s="472">
        <f t="shared" si="25"/>
        <v>42</v>
      </c>
      <c r="D325" s="472">
        <f t="shared" si="26"/>
        <v>42</v>
      </c>
      <c r="E325" s="472">
        <f t="shared" si="27"/>
        <v>16</v>
      </c>
      <c r="F325" s="472" t="str">
        <f t="shared" si="29"/>
        <v>pm</v>
      </c>
      <c r="G325" s="472" t="s">
        <v>996</v>
      </c>
      <c r="H325" s="472" t="s">
        <v>386</v>
      </c>
      <c r="I325" s="472" t="s">
        <v>997</v>
      </c>
      <c r="K325" s="473">
        <f t="shared" si="28"/>
        <v>2151.4067918374999</v>
      </c>
      <c r="M325" s="473">
        <v>2200</v>
      </c>
      <c r="O325" s="472">
        <v>2151.4067918374999</v>
      </c>
    </row>
    <row r="326" spans="1:15">
      <c r="A326" s="472">
        <v>1</v>
      </c>
      <c r="C326" s="472">
        <f t="shared" si="25"/>
        <v>43</v>
      </c>
      <c r="D326" s="472">
        <f t="shared" si="26"/>
        <v>43</v>
      </c>
      <c r="E326" s="472">
        <f t="shared" si="27"/>
        <v>16</v>
      </c>
      <c r="F326" s="472" t="str">
        <f t="shared" si="29"/>
        <v>sox</v>
      </c>
      <c r="G326" s="472" t="s">
        <v>998</v>
      </c>
      <c r="H326" s="472" t="s">
        <v>543</v>
      </c>
      <c r="I326" s="472" t="s">
        <v>999</v>
      </c>
      <c r="K326" s="473">
        <f t="shared" si="28"/>
        <v>2200</v>
      </c>
      <c r="M326" s="473">
        <v>2200</v>
      </c>
    </row>
    <row r="327" spans="1:15">
      <c r="A327" s="472">
        <v>1</v>
      </c>
      <c r="C327" s="472">
        <f t="shared" si="25"/>
        <v>44</v>
      </c>
      <c r="D327" s="472">
        <f t="shared" si="26"/>
        <v>43</v>
      </c>
      <c r="E327" s="472">
        <f t="shared" si="27"/>
        <v>16</v>
      </c>
      <c r="F327" s="472" t="str">
        <f t="shared" si="29"/>
        <v>sox</v>
      </c>
      <c r="G327" s="472" t="s">
        <v>1000</v>
      </c>
      <c r="H327" s="472" t="s">
        <v>543</v>
      </c>
      <c r="I327" s="472" t="s">
        <v>1001</v>
      </c>
      <c r="K327" s="473">
        <f t="shared" si="28"/>
        <v>2200</v>
      </c>
      <c r="M327" s="473">
        <v>2200</v>
      </c>
    </row>
    <row r="328" spans="1:15">
      <c r="A328" s="472">
        <v>2</v>
      </c>
      <c r="C328" s="472">
        <f t="shared" si="25"/>
        <v>45</v>
      </c>
      <c r="D328" s="472">
        <f t="shared" si="26"/>
        <v>43</v>
      </c>
      <c r="E328" s="472">
        <f t="shared" si="27"/>
        <v>16</v>
      </c>
      <c r="F328" s="472" t="str">
        <f t="shared" si="29"/>
        <v>cr</v>
      </c>
      <c r="G328" s="472" t="s">
        <v>1002</v>
      </c>
      <c r="H328" s="472" t="s">
        <v>405</v>
      </c>
      <c r="I328" s="472" t="s">
        <v>1003</v>
      </c>
      <c r="K328" s="473">
        <f t="shared" si="28"/>
        <v>2200</v>
      </c>
      <c r="M328" s="473">
        <v>2200</v>
      </c>
    </row>
    <row r="329" spans="1:15">
      <c r="A329" s="472">
        <v>2</v>
      </c>
      <c r="C329" s="472">
        <f t="shared" si="25"/>
        <v>46</v>
      </c>
      <c r="D329" s="472">
        <f t="shared" si="26"/>
        <v>43</v>
      </c>
      <c r="E329" s="472">
        <f t="shared" si="27"/>
        <v>16</v>
      </c>
      <c r="F329" s="472" t="str">
        <f t="shared" si="29"/>
        <v>cr</v>
      </c>
      <c r="G329" s="472" t="s">
        <v>1004</v>
      </c>
      <c r="H329" s="472" t="s">
        <v>405</v>
      </c>
      <c r="I329" s="472" t="s">
        <v>1005</v>
      </c>
      <c r="K329" s="473">
        <f t="shared" si="28"/>
        <v>2200</v>
      </c>
      <c r="M329" s="473">
        <v>2200</v>
      </c>
    </row>
    <row r="330" spans="1:15">
      <c r="A330" s="472">
        <v>1</v>
      </c>
      <c r="C330" s="472">
        <f t="shared" si="25"/>
        <v>47</v>
      </c>
      <c r="D330" s="472">
        <f t="shared" si="26"/>
        <v>47</v>
      </c>
      <c r="E330" s="472">
        <f t="shared" si="27"/>
        <v>16</v>
      </c>
      <c r="F330" s="472" t="str">
        <f t="shared" si="29"/>
        <v>crx</v>
      </c>
      <c r="G330" s="472" t="s">
        <v>1006</v>
      </c>
      <c r="H330" s="472" t="s">
        <v>1007</v>
      </c>
      <c r="I330" s="472" t="s">
        <v>1008</v>
      </c>
      <c r="K330" s="473">
        <f t="shared" si="28"/>
        <v>2269.6125043751308</v>
      </c>
      <c r="M330" s="473">
        <v>2200</v>
      </c>
      <c r="O330" s="472">
        <v>2269.6125043751308</v>
      </c>
    </row>
    <row r="331" spans="1:15">
      <c r="A331" s="472">
        <v>1</v>
      </c>
      <c r="C331" s="472">
        <f t="shared" si="25"/>
        <v>48</v>
      </c>
      <c r="D331" s="472">
        <f t="shared" si="26"/>
        <v>48</v>
      </c>
      <c r="E331" s="472">
        <f t="shared" si="27"/>
        <v>16</v>
      </c>
      <c r="F331" s="472" t="str">
        <f t="shared" si="29"/>
        <v>sox</v>
      </c>
      <c r="G331" s="472" t="s">
        <v>1009</v>
      </c>
      <c r="H331" s="472" t="s">
        <v>430</v>
      </c>
      <c r="I331" s="472" t="s">
        <v>1010</v>
      </c>
      <c r="K331" s="473">
        <f t="shared" si="28"/>
        <v>2200</v>
      </c>
      <c r="M331" s="473">
        <v>2200</v>
      </c>
    </row>
    <row r="332" spans="1:15">
      <c r="A332" s="472">
        <v>1</v>
      </c>
      <c r="C332" s="472">
        <f t="shared" si="25"/>
        <v>49</v>
      </c>
      <c r="D332" s="472">
        <f t="shared" si="26"/>
        <v>49</v>
      </c>
      <c r="E332" s="472">
        <f t="shared" si="27"/>
        <v>16</v>
      </c>
      <c r="F332" s="472" t="str">
        <f t="shared" si="29"/>
        <v>crx</v>
      </c>
      <c r="G332" s="472" t="s">
        <v>1011</v>
      </c>
      <c r="H332" s="472" t="s">
        <v>1012</v>
      </c>
      <c r="I332" s="472" t="s">
        <v>1013</v>
      </c>
      <c r="K332" s="473">
        <f t="shared" si="28"/>
        <v>2263.4652648991896</v>
      </c>
      <c r="M332" s="473">
        <v>2200</v>
      </c>
      <c r="O332" s="472">
        <v>2263.4652648991896</v>
      </c>
    </row>
    <row r="333" spans="1:15">
      <c r="A333" s="472">
        <v>5</v>
      </c>
      <c r="C333" s="472">
        <f t="shared" si="25"/>
        <v>50</v>
      </c>
      <c r="D333" s="472">
        <f t="shared" si="26"/>
        <v>50</v>
      </c>
      <c r="E333" s="472">
        <f t="shared" si="27"/>
        <v>16</v>
      </c>
      <c r="F333" s="472" t="str">
        <f t="shared" si="29"/>
        <v>pm</v>
      </c>
      <c r="G333" s="472" t="s">
        <v>1014</v>
      </c>
      <c r="H333" s="472" t="s">
        <v>86</v>
      </c>
      <c r="I333" s="472" t="s">
        <v>1015</v>
      </c>
      <c r="K333" s="473">
        <f t="shared" si="28"/>
        <v>2200</v>
      </c>
      <c r="M333" s="473">
        <v>2200</v>
      </c>
    </row>
    <row r="334" spans="1:15">
      <c r="A334" s="472">
        <v>5</v>
      </c>
      <c r="C334" s="472">
        <f t="shared" si="25"/>
        <v>51</v>
      </c>
      <c r="D334" s="472">
        <f t="shared" si="26"/>
        <v>50</v>
      </c>
      <c r="E334" s="472">
        <f t="shared" si="27"/>
        <v>16</v>
      </c>
      <c r="F334" s="472" t="str">
        <f t="shared" si="29"/>
        <v>pm</v>
      </c>
      <c r="G334" s="472" t="s">
        <v>1016</v>
      </c>
      <c r="H334" s="472" t="s">
        <v>86</v>
      </c>
      <c r="I334" s="472" t="s">
        <v>1017</v>
      </c>
      <c r="K334" s="473">
        <f t="shared" si="28"/>
        <v>2200</v>
      </c>
      <c r="M334" s="473">
        <v>2200</v>
      </c>
    </row>
    <row r="335" spans="1:15">
      <c r="A335" s="472">
        <v>3</v>
      </c>
      <c r="C335" s="472">
        <f t="shared" si="25"/>
        <v>52</v>
      </c>
      <c r="D335" s="472">
        <f t="shared" si="26"/>
        <v>50</v>
      </c>
      <c r="E335" s="472">
        <f t="shared" si="27"/>
        <v>16</v>
      </c>
      <c r="F335" s="472" t="str">
        <f t="shared" si="29"/>
        <v>pm</v>
      </c>
      <c r="G335" s="472" t="s">
        <v>1018</v>
      </c>
      <c r="H335" s="472" t="s">
        <v>117</v>
      </c>
      <c r="I335" s="472" t="s">
        <v>1019</v>
      </c>
      <c r="K335" s="473">
        <f t="shared" si="28"/>
        <v>2200</v>
      </c>
      <c r="M335" s="473">
        <v>2200</v>
      </c>
    </row>
    <row r="336" spans="1:15">
      <c r="A336" s="472">
        <v>1</v>
      </c>
      <c r="C336" s="472">
        <f t="shared" si="25"/>
        <v>53</v>
      </c>
      <c r="D336" s="472">
        <f t="shared" si="26"/>
        <v>50</v>
      </c>
      <c r="E336" s="472">
        <f t="shared" si="27"/>
        <v>16</v>
      </c>
      <c r="F336" s="472" t="str">
        <f t="shared" si="29"/>
        <v>crx</v>
      </c>
      <c r="G336" s="472" t="s">
        <v>1020</v>
      </c>
      <c r="H336" s="472" t="s">
        <v>1021</v>
      </c>
      <c r="I336" s="472" t="s">
        <v>1022</v>
      </c>
      <c r="K336" s="473">
        <f t="shared" si="28"/>
        <v>2200</v>
      </c>
      <c r="M336" s="473">
        <v>2200</v>
      </c>
    </row>
    <row r="337" spans="1:14">
      <c r="A337" s="472">
        <v>5</v>
      </c>
      <c r="C337" s="472">
        <f t="shared" si="25"/>
        <v>54</v>
      </c>
      <c r="D337" s="472">
        <f t="shared" si="26"/>
        <v>50</v>
      </c>
      <c r="E337" s="472">
        <f t="shared" si="27"/>
        <v>16</v>
      </c>
      <c r="F337" s="472" t="str">
        <f t="shared" si="29"/>
        <v>pm</v>
      </c>
      <c r="G337" s="472" t="s">
        <v>1023</v>
      </c>
      <c r="H337" s="472" t="s">
        <v>579</v>
      </c>
      <c r="I337" s="472" t="s">
        <v>1024</v>
      </c>
      <c r="K337" s="473">
        <f t="shared" si="28"/>
        <v>2200</v>
      </c>
      <c r="M337" s="473">
        <v>2200</v>
      </c>
    </row>
    <row r="338" spans="1:14">
      <c r="A338" s="472">
        <v>5</v>
      </c>
      <c r="C338" s="472">
        <f t="shared" si="25"/>
        <v>55</v>
      </c>
      <c r="D338" s="472">
        <f t="shared" si="26"/>
        <v>50</v>
      </c>
      <c r="E338" s="472">
        <f t="shared" si="27"/>
        <v>16</v>
      </c>
      <c r="F338" s="472" t="str">
        <f t="shared" si="29"/>
        <v>pm</v>
      </c>
      <c r="G338" s="472" t="s">
        <v>1025</v>
      </c>
      <c r="H338" s="472" t="s">
        <v>579</v>
      </c>
      <c r="I338" s="472" t="s">
        <v>1026</v>
      </c>
      <c r="K338" s="473">
        <f t="shared" si="28"/>
        <v>2200</v>
      </c>
      <c r="M338" s="473">
        <v>2200</v>
      </c>
    </row>
    <row r="339" spans="1:14">
      <c r="A339" s="472">
        <v>1</v>
      </c>
      <c r="C339" s="472">
        <f t="shared" si="25"/>
        <v>56</v>
      </c>
      <c r="D339" s="472">
        <f t="shared" si="26"/>
        <v>50</v>
      </c>
      <c r="E339" s="472">
        <f t="shared" si="27"/>
        <v>16</v>
      </c>
      <c r="F339" s="472" t="str">
        <f t="shared" si="29"/>
        <v>sox</v>
      </c>
      <c r="G339" s="472" t="s">
        <v>1027</v>
      </c>
      <c r="H339" s="472" t="s">
        <v>754</v>
      </c>
      <c r="I339" s="472" t="s">
        <v>1028</v>
      </c>
      <c r="K339" s="473">
        <f t="shared" si="28"/>
        <v>2200</v>
      </c>
      <c r="M339" s="473">
        <v>2200</v>
      </c>
    </row>
    <row r="340" spans="1:14">
      <c r="A340" s="472">
        <v>1</v>
      </c>
      <c r="C340" s="472">
        <f t="shared" si="25"/>
        <v>57</v>
      </c>
      <c r="D340" s="472">
        <f t="shared" si="26"/>
        <v>50</v>
      </c>
      <c r="E340" s="472">
        <f t="shared" si="27"/>
        <v>16</v>
      </c>
      <c r="F340" s="472" t="str">
        <f t="shared" si="29"/>
        <v>sox</v>
      </c>
      <c r="G340" s="472" t="s">
        <v>1029</v>
      </c>
      <c r="H340" s="472" t="s">
        <v>754</v>
      </c>
      <c r="I340" s="472" t="s">
        <v>1030</v>
      </c>
      <c r="K340" s="473">
        <f t="shared" si="28"/>
        <v>2200</v>
      </c>
      <c r="M340" s="473">
        <v>2200</v>
      </c>
    </row>
    <row r="341" spans="1:14">
      <c r="A341" s="472">
        <v>1</v>
      </c>
      <c r="C341" s="472">
        <f t="shared" si="25"/>
        <v>58</v>
      </c>
      <c r="D341" s="472">
        <f t="shared" si="26"/>
        <v>50</v>
      </c>
      <c r="E341" s="472">
        <f t="shared" si="27"/>
        <v>16</v>
      </c>
      <c r="F341" s="472" t="str">
        <f t="shared" si="29"/>
        <v>sox</v>
      </c>
      <c r="G341" s="472" t="s">
        <v>1031</v>
      </c>
      <c r="H341" s="472" t="s">
        <v>754</v>
      </c>
      <c r="I341" s="472" t="s">
        <v>1032</v>
      </c>
      <c r="K341" s="473">
        <f t="shared" si="28"/>
        <v>2200</v>
      </c>
      <c r="M341" s="473">
        <v>2200</v>
      </c>
    </row>
    <row r="342" spans="1:14">
      <c r="A342" s="472">
        <v>4</v>
      </c>
      <c r="C342" s="472">
        <f t="shared" si="25"/>
        <v>59</v>
      </c>
      <c r="D342" s="472">
        <f t="shared" si="26"/>
        <v>50</v>
      </c>
      <c r="E342" s="472">
        <f t="shared" si="27"/>
        <v>16</v>
      </c>
      <c r="F342" s="472" t="str">
        <f t="shared" si="29"/>
        <v>pm</v>
      </c>
      <c r="G342" s="472" t="s">
        <v>1033</v>
      </c>
      <c r="H342" s="472" t="s">
        <v>483</v>
      </c>
      <c r="I342" s="472" t="s">
        <v>1034</v>
      </c>
      <c r="K342" s="473">
        <f t="shared" si="28"/>
        <v>2200</v>
      </c>
      <c r="M342" s="473">
        <v>2200</v>
      </c>
    </row>
    <row r="343" spans="1:14">
      <c r="A343" s="472">
        <v>1</v>
      </c>
      <c r="C343" s="472">
        <f t="shared" si="25"/>
        <v>1</v>
      </c>
      <c r="D343" s="472">
        <f t="shared" si="26"/>
        <v>1</v>
      </c>
      <c r="E343" s="472">
        <f t="shared" si="27"/>
        <v>17</v>
      </c>
      <c r="F343" s="472" t="str">
        <f t="shared" si="29"/>
        <v>crx</v>
      </c>
      <c r="G343" s="472" t="s">
        <v>1035</v>
      </c>
      <c r="H343" s="472" t="s">
        <v>1036</v>
      </c>
      <c r="I343" s="472" t="s">
        <v>1037</v>
      </c>
      <c r="K343" s="473">
        <f t="shared" si="28"/>
        <v>2800</v>
      </c>
      <c r="M343" s="473">
        <v>2800</v>
      </c>
    </row>
    <row r="344" spans="1:14">
      <c r="A344" s="472">
        <v>2</v>
      </c>
      <c r="C344" s="472">
        <f t="shared" si="25"/>
        <v>2</v>
      </c>
      <c r="D344" s="472">
        <f t="shared" si="26"/>
        <v>1</v>
      </c>
      <c r="E344" s="472">
        <f t="shared" si="27"/>
        <v>17</v>
      </c>
      <c r="F344" s="472" t="str">
        <f t="shared" si="29"/>
        <v>cr</v>
      </c>
      <c r="G344" s="472" t="s">
        <v>1038</v>
      </c>
      <c r="H344" s="472" t="s">
        <v>340</v>
      </c>
      <c r="I344" s="472" t="s">
        <v>1039</v>
      </c>
      <c r="K344" s="473">
        <f t="shared" si="28"/>
        <v>2800</v>
      </c>
      <c r="M344" s="473">
        <v>2800</v>
      </c>
    </row>
    <row r="345" spans="1:14">
      <c r="A345" s="472">
        <v>1</v>
      </c>
      <c r="C345" s="472">
        <f t="shared" si="25"/>
        <v>3</v>
      </c>
      <c r="D345" s="472">
        <f t="shared" si="26"/>
        <v>3</v>
      </c>
      <c r="E345" s="472">
        <f t="shared" si="27"/>
        <v>17</v>
      </c>
      <c r="F345" s="472" t="str">
        <f t="shared" si="29"/>
        <v>crx</v>
      </c>
      <c r="G345" s="472" t="s">
        <v>1040</v>
      </c>
      <c r="H345" s="472" t="s">
        <v>1041</v>
      </c>
      <c r="I345" s="472" t="s">
        <v>1042</v>
      </c>
      <c r="K345" s="473">
        <f t="shared" si="28"/>
        <v>2750.4570583228733</v>
      </c>
      <c r="M345" s="473">
        <v>2800</v>
      </c>
      <c r="N345" s="472">
        <v>2750.4570583228733</v>
      </c>
    </row>
    <row r="346" spans="1:14">
      <c r="A346" s="472">
        <v>1</v>
      </c>
      <c r="C346" s="472">
        <f t="shared" si="25"/>
        <v>4</v>
      </c>
      <c r="D346" s="472">
        <f t="shared" si="26"/>
        <v>4</v>
      </c>
      <c r="E346" s="472">
        <f t="shared" si="27"/>
        <v>17</v>
      </c>
      <c r="F346" s="472" t="str">
        <f t="shared" si="29"/>
        <v>crx</v>
      </c>
      <c r="G346" s="472" t="s">
        <v>1043</v>
      </c>
      <c r="H346" s="472" t="s">
        <v>778</v>
      </c>
      <c r="I346" s="472" t="s">
        <v>1044</v>
      </c>
      <c r="K346" s="473">
        <f t="shared" si="28"/>
        <v>2800</v>
      </c>
      <c r="M346" s="473">
        <v>2800</v>
      </c>
    </row>
    <row r="347" spans="1:14">
      <c r="A347" s="472">
        <v>1</v>
      </c>
      <c r="C347" s="472">
        <f t="shared" si="25"/>
        <v>5</v>
      </c>
      <c r="D347" s="472">
        <f t="shared" si="26"/>
        <v>4</v>
      </c>
      <c r="E347" s="472">
        <f t="shared" si="27"/>
        <v>17</v>
      </c>
      <c r="F347" s="472" t="str">
        <f t="shared" si="29"/>
        <v>crx</v>
      </c>
      <c r="G347" s="472" t="s">
        <v>1045</v>
      </c>
      <c r="H347" s="472" t="s">
        <v>1046</v>
      </c>
      <c r="I347" s="472" t="s">
        <v>1047</v>
      </c>
      <c r="K347" s="473">
        <f t="shared" si="28"/>
        <v>2800</v>
      </c>
      <c r="M347" s="473">
        <v>2800</v>
      </c>
    </row>
    <row r="348" spans="1:14">
      <c r="A348" s="472">
        <v>4</v>
      </c>
      <c r="C348" s="472">
        <f t="shared" si="25"/>
        <v>6</v>
      </c>
      <c r="D348" s="472">
        <f t="shared" si="26"/>
        <v>6</v>
      </c>
      <c r="E348" s="472">
        <f t="shared" si="27"/>
        <v>17</v>
      </c>
      <c r="F348" s="472" t="str">
        <f t="shared" si="29"/>
        <v>pm</v>
      </c>
      <c r="G348" s="472" t="s">
        <v>1048</v>
      </c>
      <c r="H348" s="472" t="s">
        <v>331</v>
      </c>
      <c r="I348" s="472" t="s">
        <v>1049</v>
      </c>
      <c r="K348" s="473">
        <f t="shared" si="28"/>
        <v>2833.6024184475791</v>
      </c>
      <c r="M348" s="473">
        <v>2800</v>
      </c>
      <c r="N348" s="472">
        <v>2833.6024184475791</v>
      </c>
    </row>
    <row r="349" spans="1:14">
      <c r="A349" s="472">
        <v>4</v>
      </c>
      <c r="C349" s="472">
        <f t="shared" si="25"/>
        <v>7</v>
      </c>
      <c r="D349" s="472">
        <f t="shared" si="26"/>
        <v>7</v>
      </c>
      <c r="E349" s="472">
        <f t="shared" si="27"/>
        <v>17</v>
      </c>
      <c r="F349" s="472" t="str">
        <f t="shared" si="29"/>
        <v>pm</v>
      </c>
      <c r="G349" s="472" t="s">
        <v>1050</v>
      </c>
      <c r="H349" s="472" t="s">
        <v>331</v>
      </c>
      <c r="I349" s="472" t="s">
        <v>1051</v>
      </c>
      <c r="K349" s="473">
        <f t="shared" si="28"/>
        <v>2871.6284059333157</v>
      </c>
      <c r="M349" s="473">
        <v>2800</v>
      </c>
      <c r="N349" s="472">
        <v>2871.6284059333157</v>
      </c>
    </row>
    <row r="350" spans="1:14">
      <c r="A350" s="472">
        <v>1</v>
      </c>
      <c r="C350" s="472">
        <f t="shared" si="25"/>
        <v>8</v>
      </c>
      <c r="D350" s="472">
        <f t="shared" si="26"/>
        <v>8</v>
      </c>
      <c r="E350" s="472">
        <f t="shared" si="27"/>
        <v>17</v>
      </c>
      <c r="F350" s="472" t="str">
        <f t="shared" si="29"/>
        <v>crx</v>
      </c>
      <c r="G350" s="472" t="s">
        <v>1052</v>
      </c>
      <c r="H350" s="472" t="s">
        <v>1053</v>
      </c>
      <c r="I350" s="472" t="s">
        <v>1054</v>
      </c>
      <c r="K350" s="473">
        <f t="shared" si="28"/>
        <v>2800</v>
      </c>
      <c r="M350" s="473">
        <v>2800</v>
      </c>
    </row>
    <row r="351" spans="1:14">
      <c r="A351" s="472">
        <v>1</v>
      </c>
      <c r="C351" s="472">
        <f t="shared" si="25"/>
        <v>9</v>
      </c>
      <c r="D351" s="472">
        <f t="shared" si="26"/>
        <v>8</v>
      </c>
      <c r="E351" s="472">
        <f t="shared" si="27"/>
        <v>17</v>
      </c>
      <c r="F351" s="472" t="str">
        <f t="shared" si="29"/>
        <v>pmx</v>
      </c>
      <c r="G351" s="472" t="s">
        <v>1055</v>
      </c>
      <c r="H351" s="472" t="s">
        <v>449</v>
      </c>
      <c r="I351" s="472" t="s">
        <v>1056</v>
      </c>
      <c r="K351" s="473">
        <f t="shared" si="28"/>
        <v>2800</v>
      </c>
      <c r="M351" s="473">
        <v>2800</v>
      </c>
    </row>
    <row r="352" spans="1:14">
      <c r="A352" s="472">
        <v>4</v>
      </c>
      <c r="C352" s="472">
        <f t="shared" si="25"/>
        <v>10</v>
      </c>
      <c r="D352" s="472">
        <f t="shared" si="26"/>
        <v>10</v>
      </c>
      <c r="E352" s="472">
        <f t="shared" si="27"/>
        <v>17</v>
      </c>
      <c r="F352" s="472" t="str">
        <f t="shared" si="29"/>
        <v>pm</v>
      </c>
      <c r="G352" s="472" t="s">
        <v>1057</v>
      </c>
      <c r="H352" s="472" t="s">
        <v>799</v>
      </c>
      <c r="I352" s="472" t="s">
        <v>1058</v>
      </c>
      <c r="K352" s="473">
        <f t="shared" si="28"/>
        <v>2752.6182883776373</v>
      </c>
      <c r="M352" s="473">
        <v>2800</v>
      </c>
      <c r="N352" s="472">
        <v>2752.6182883776373</v>
      </c>
    </row>
    <row r="353" spans="1:14">
      <c r="A353" s="472">
        <v>5</v>
      </c>
      <c r="C353" s="472">
        <f t="shared" si="25"/>
        <v>11</v>
      </c>
      <c r="D353" s="472">
        <f t="shared" si="26"/>
        <v>11</v>
      </c>
      <c r="E353" s="472">
        <f t="shared" si="27"/>
        <v>17</v>
      </c>
      <c r="F353" s="472" t="str">
        <f t="shared" si="29"/>
        <v>pm</v>
      </c>
      <c r="G353" s="472" t="s">
        <v>1059</v>
      </c>
      <c r="H353" s="472" t="s">
        <v>1060</v>
      </c>
      <c r="I353" s="472" t="s">
        <v>1061</v>
      </c>
      <c r="K353" s="473">
        <f t="shared" si="28"/>
        <v>2800</v>
      </c>
      <c r="M353" s="473">
        <v>2800</v>
      </c>
    </row>
    <row r="354" spans="1:14">
      <c r="A354" s="472">
        <v>4</v>
      </c>
      <c r="C354" s="472">
        <f t="shared" si="25"/>
        <v>12</v>
      </c>
      <c r="D354" s="472">
        <f t="shared" si="26"/>
        <v>11</v>
      </c>
      <c r="E354" s="472">
        <f t="shared" si="27"/>
        <v>17</v>
      </c>
      <c r="F354" s="472" t="str">
        <f t="shared" si="29"/>
        <v>pm</v>
      </c>
      <c r="G354" s="472" t="s">
        <v>1062</v>
      </c>
      <c r="H354" s="472" t="s">
        <v>397</v>
      </c>
      <c r="I354" s="472" t="s">
        <v>1063</v>
      </c>
      <c r="K354" s="473">
        <f t="shared" si="28"/>
        <v>2800</v>
      </c>
      <c r="M354" s="473">
        <v>2800</v>
      </c>
    </row>
    <row r="355" spans="1:14">
      <c r="A355" s="472">
        <v>6</v>
      </c>
      <c r="C355" s="472">
        <f t="shared" si="25"/>
        <v>13</v>
      </c>
      <c r="D355" s="472">
        <f t="shared" si="26"/>
        <v>13</v>
      </c>
      <c r="E355" s="472">
        <f t="shared" si="27"/>
        <v>17</v>
      </c>
      <c r="F355" s="472" t="str">
        <f t="shared" si="29"/>
        <v>pm</v>
      </c>
      <c r="G355" s="472" t="s">
        <v>1064</v>
      </c>
      <c r="H355" s="472" t="s">
        <v>421</v>
      </c>
      <c r="I355" s="472" t="s">
        <v>1065</v>
      </c>
      <c r="K355" s="473">
        <f t="shared" si="28"/>
        <v>2726.4435267606004</v>
      </c>
      <c r="M355" s="473">
        <v>2800</v>
      </c>
      <c r="N355" s="472">
        <v>2726.4435267606004</v>
      </c>
    </row>
    <row r="356" spans="1:14">
      <c r="A356" s="472">
        <v>1</v>
      </c>
      <c r="C356" s="472">
        <f t="shared" si="25"/>
        <v>14</v>
      </c>
      <c r="D356" s="472">
        <f t="shared" si="26"/>
        <v>14</v>
      </c>
      <c r="E356" s="472">
        <f t="shared" si="27"/>
        <v>17</v>
      </c>
      <c r="F356" s="472" t="str">
        <f t="shared" si="29"/>
        <v>crx</v>
      </c>
      <c r="G356" s="472" t="s">
        <v>1066</v>
      </c>
      <c r="H356" s="472" t="s">
        <v>806</v>
      </c>
      <c r="I356" s="472" t="s">
        <v>1067</v>
      </c>
      <c r="K356" s="473">
        <f t="shared" si="28"/>
        <v>2812.0624491162876</v>
      </c>
      <c r="M356" s="473">
        <v>2800</v>
      </c>
      <c r="N356" s="472">
        <v>2812.0624491162876</v>
      </c>
    </row>
    <row r="357" spans="1:14">
      <c r="A357" s="472">
        <v>3</v>
      </c>
      <c r="C357" s="472">
        <f t="shared" si="25"/>
        <v>15</v>
      </c>
      <c r="D357" s="472">
        <f t="shared" si="26"/>
        <v>15</v>
      </c>
      <c r="E357" s="472">
        <f t="shared" si="27"/>
        <v>17</v>
      </c>
      <c r="F357" s="472" t="str">
        <f t="shared" si="29"/>
        <v>pm</v>
      </c>
      <c r="G357" s="472" t="s">
        <v>1068</v>
      </c>
      <c r="H357" s="472" t="s">
        <v>452</v>
      </c>
      <c r="I357" s="472" t="s">
        <v>1069</v>
      </c>
      <c r="K357" s="473">
        <f t="shared" si="28"/>
        <v>2874.5669843189626</v>
      </c>
      <c r="M357" s="473">
        <v>2800</v>
      </c>
      <c r="N357" s="472">
        <v>2874.5669843189626</v>
      </c>
    </row>
    <row r="358" spans="1:14">
      <c r="A358" s="472">
        <v>2</v>
      </c>
      <c r="C358" s="472">
        <f t="shared" si="25"/>
        <v>16</v>
      </c>
      <c r="D358" s="472">
        <f t="shared" si="26"/>
        <v>16</v>
      </c>
      <c r="E358" s="472">
        <f t="shared" si="27"/>
        <v>17</v>
      </c>
      <c r="F358" s="472" t="str">
        <f t="shared" si="29"/>
        <v>pm</v>
      </c>
      <c r="G358" s="472" t="s">
        <v>1070</v>
      </c>
      <c r="H358" s="472" t="s">
        <v>154</v>
      </c>
      <c r="I358" s="472" t="s">
        <v>1071</v>
      </c>
      <c r="K358" s="473">
        <f t="shared" si="28"/>
        <v>2800</v>
      </c>
      <c r="M358" s="473">
        <v>2800</v>
      </c>
    </row>
    <row r="359" spans="1:14">
      <c r="A359" s="472">
        <v>2</v>
      </c>
      <c r="C359" s="472">
        <f t="shared" si="25"/>
        <v>17</v>
      </c>
      <c r="D359" s="472">
        <f t="shared" si="26"/>
        <v>16</v>
      </c>
      <c r="E359" s="472">
        <f t="shared" si="27"/>
        <v>17</v>
      </c>
      <c r="F359" s="472" t="str">
        <f t="shared" si="29"/>
        <v>pm</v>
      </c>
      <c r="G359" s="472" t="s">
        <v>1072</v>
      </c>
      <c r="H359" s="472" t="s">
        <v>154</v>
      </c>
      <c r="I359" s="472" t="s">
        <v>1073</v>
      </c>
      <c r="K359" s="473">
        <f t="shared" si="28"/>
        <v>2800</v>
      </c>
      <c r="M359" s="473">
        <v>2800</v>
      </c>
    </row>
    <row r="360" spans="1:14">
      <c r="A360" s="472">
        <v>1</v>
      </c>
      <c r="C360" s="472">
        <f t="shared" si="25"/>
        <v>18</v>
      </c>
      <c r="D360" s="472">
        <f t="shared" si="26"/>
        <v>16</v>
      </c>
      <c r="E360" s="472">
        <f t="shared" si="27"/>
        <v>17</v>
      </c>
      <c r="F360" s="472" t="str">
        <f t="shared" si="29"/>
        <v>sox</v>
      </c>
      <c r="G360" s="472" t="s">
        <v>1074</v>
      </c>
      <c r="H360" s="472" t="s">
        <v>630</v>
      </c>
      <c r="I360" s="472" t="s">
        <v>1075</v>
      </c>
      <c r="K360" s="473">
        <f t="shared" si="28"/>
        <v>2800</v>
      </c>
      <c r="M360" s="473">
        <v>2800</v>
      </c>
    </row>
    <row r="361" spans="1:14">
      <c r="A361" s="472">
        <v>3</v>
      </c>
      <c r="C361" s="472">
        <f t="shared" si="25"/>
        <v>19</v>
      </c>
      <c r="D361" s="472">
        <f t="shared" si="26"/>
        <v>19</v>
      </c>
      <c r="E361" s="472">
        <f t="shared" si="27"/>
        <v>17</v>
      </c>
      <c r="F361" s="472" t="str">
        <f t="shared" si="29"/>
        <v>pm</v>
      </c>
      <c r="G361" s="472" t="s">
        <v>1076</v>
      </c>
      <c r="H361" s="472" t="s">
        <v>564</v>
      </c>
      <c r="I361" s="472" t="s">
        <v>1077</v>
      </c>
      <c r="K361" s="473">
        <f t="shared" si="28"/>
        <v>2797.8823937745101</v>
      </c>
      <c r="M361" s="473">
        <v>2800</v>
      </c>
      <c r="N361" s="472">
        <v>2797.8823937745101</v>
      </c>
    </row>
    <row r="362" spans="1:14">
      <c r="A362" s="472">
        <v>1</v>
      </c>
      <c r="C362" s="472">
        <f t="shared" si="25"/>
        <v>20</v>
      </c>
      <c r="D362" s="472">
        <f t="shared" si="26"/>
        <v>20</v>
      </c>
      <c r="E362" s="472">
        <f t="shared" si="27"/>
        <v>17</v>
      </c>
      <c r="F362" s="472" t="str">
        <f t="shared" si="29"/>
        <v>odx</v>
      </c>
      <c r="G362" s="472" t="s">
        <v>1078</v>
      </c>
      <c r="H362" s="472" t="s">
        <v>635</v>
      </c>
      <c r="I362" s="472" t="s">
        <v>1079</v>
      </c>
      <c r="K362" s="473">
        <f t="shared" si="28"/>
        <v>2800</v>
      </c>
      <c r="M362" s="473">
        <v>2800</v>
      </c>
    </row>
    <row r="363" spans="1:14">
      <c r="A363" s="472">
        <v>3</v>
      </c>
      <c r="C363" s="472">
        <f t="shared" si="25"/>
        <v>21</v>
      </c>
      <c r="D363" s="472">
        <f t="shared" si="26"/>
        <v>21</v>
      </c>
      <c r="E363" s="472">
        <f t="shared" si="27"/>
        <v>17</v>
      </c>
      <c r="F363" s="472" t="str">
        <f t="shared" si="29"/>
        <v>pm</v>
      </c>
      <c r="G363" s="472" t="s">
        <v>1080</v>
      </c>
      <c r="H363" s="472" t="s">
        <v>501</v>
      </c>
      <c r="I363" s="472" t="s">
        <v>1081</v>
      </c>
      <c r="K363" s="473">
        <f t="shared" si="28"/>
        <v>2817.626099057934</v>
      </c>
      <c r="M363" s="473">
        <v>2800</v>
      </c>
      <c r="N363" s="472">
        <v>2817.626099057934</v>
      </c>
    </row>
    <row r="364" spans="1:14">
      <c r="A364" s="472">
        <v>5</v>
      </c>
      <c r="C364" s="472">
        <f t="shared" si="25"/>
        <v>22</v>
      </c>
      <c r="D364" s="472">
        <f t="shared" si="26"/>
        <v>22</v>
      </c>
      <c r="E364" s="472">
        <f t="shared" si="27"/>
        <v>17</v>
      </c>
      <c r="F364" s="472" t="str">
        <f t="shared" si="29"/>
        <v>pm</v>
      </c>
      <c r="G364" s="472" t="s">
        <v>1082</v>
      </c>
      <c r="H364" s="472" t="s">
        <v>411</v>
      </c>
      <c r="I364" s="472" t="s">
        <v>1083</v>
      </c>
      <c r="K364" s="473">
        <f t="shared" si="28"/>
        <v>2765.4519842745844</v>
      </c>
      <c r="M364" s="473">
        <v>2800</v>
      </c>
      <c r="N364" s="472">
        <v>2765.4519842745844</v>
      </c>
    </row>
    <row r="365" spans="1:14">
      <c r="A365" s="472">
        <v>6</v>
      </c>
      <c r="C365" s="472">
        <f t="shared" si="25"/>
        <v>23</v>
      </c>
      <c r="D365" s="472">
        <f t="shared" si="26"/>
        <v>23</v>
      </c>
      <c r="E365" s="472">
        <f t="shared" si="27"/>
        <v>17</v>
      </c>
      <c r="F365" s="472" t="str">
        <f t="shared" si="29"/>
        <v>pm</v>
      </c>
      <c r="G365" s="472" t="s">
        <v>1084</v>
      </c>
      <c r="H365" s="472" t="s">
        <v>411</v>
      </c>
      <c r="I365" s="472" t="s">
        <v>1085</v>
      </c>
      <c r="K365" s="473">
        <f t="shared" si="28"/>
        <v>2671.4711193477101</v>
      </c>
      <c r="M365" s="473">
        <v>2800</v>
      </c>
      <c r="N365" s="472">
        <v>2671.4711193477101</v>
      </c>
    </row>
    <row r="366" spans="1:14">
      <c r="A366" s="472">
        <v>2</v>
      </c>
      <c r="C366" s="472">
        <f t="shared" si="25"/>
        <v>24</v>
      </c>
      <c r="D366" s="472">
        <f t="shared" si="26"/>
        <v>24</v>
      </c>
      <c r="E366" s="472">
        <f t="shared" si="27"/>
        <v>17</v>
      </c>
      <c r="F366" s="472" t="str">
        <f t="shared" si="29"/>
        <v>pm</v>
      </c>
      <c r="G366" s="472" t="s">
        <v>1086</v>
      </c>
      <c r="H366" s="472" t="s">
        <v>654</v>
      </c>
      <c r="I366" s="472" t="s">
        <v>1087</v>
      </c>
      <c r="K366" s="473">
        <f t="shared" si="28"/>
        <v>2922.5577973738191</v>
      </c>
      <c r="M366" s="473">
        <v>2800</v>
      </c>
      <c r="N366" s="472">
        <v>2922.5577973738191</v>
      </c>
    </row>
    <row r="367" spans="1:14">
      <c r="A367" s="472">
        <v>1</v>
      </c>
      <c r="C367" s="472">
        <f t="shared" si="25"/>
        <v>25</v>
      </c>
      <c r="D367" s="472">
        <f t="shared" si="26"/>
        <v>25</v>
      </c>
      <c r="E367" s="472">
        <f t="shared" si="27"/>
        <v>17</v>
      </c>
      <c r="F367" s="472" t="str">
        <f t="shared" si="29"/>
        <v>pmx</v>
      </c>
      <c r="G367" s="472" t="s">
        <v>1088</v>
      </c>
      <c r="H367" s="472" t="s">
        <v>346</v>
      </c>
      <c r="I367" s="472" t="s">
        <v>1089</v>
      </c>
      <c r="K367" s="473">
        <f t="shared" si="28"/>
        <v>2800</v>
      </c>
      <c r="M367" s="473">
        <v>2800</v>
      </c>
    </row>
    <row r="368" spans="1:14">
      <c r="A368" s="472">
        <v>4</v>
      </c>
      <c r="C368" s="472">
        <f t="shared" si="25"/>
        <v>26</v>
      </c>
      <c r="D368" s="472">
        <f t="shared" si="26"/>
        <v>26</v>
      </c>
      <c r="E368" s="472">
        <f t="shared" si="27"/>
        <v>17</v>
      </c>
      <c r="F368" s="472" t="str">
        <f t="shared" si="29"/>
        <v>pm</v>
      </c>
      <c r="G368" s="472" t="s">
        <v>1090</v>
      </c>
      <c r="H368" s="472" t="s">
        <v>92</v>
      </c>
      <c r="I368" s="472" t="s">
        <v>1091</v>
      </c>
      <c r="K368" s="473">
        <f t="shared" si="28"/>
        <v>2750</v>
      </c>
      <c r="M368" s="473">
        <v>2750</v>
      </c>
    </row>
    <row r="369" spans="1:15">
      <c r="A369" s="472">
        <v>3</v>
      </c>
      <c r="C369" s="472">
        <f t="shared" si="25"/>
        <v>27</v>
      </c>
      <c r="D369" s="472">
        <f t="shared" si="26"/>
        <v>27</v>
      </c>
      <c r="E369" s="472">
        <f t="shared" si="27"/>
        <v>17</v>
      </c>
      <c r="F369" s="472" t="str">
        <f t="shared" si="29"/>
        <v>pm</v>
      </c>
      <c r="G369" s="472" t="s">
        <v>1092</v>
      </c>
      <c r="H369" s="472" t="s">
        <v>86</v>
      </c>
      <c r="I369" s="472" t="s">
        <v>1093</v>
      </c>
      <c r="K369" s="473">
        <f t="shared" si="28"/>
        <v>2666.6666666666665</v>
      </c>
      <c r="M369" s="473">
        <v>2666.6666666666665</v>
      </c>
    </row>
    <row r="370" spans="1:15">
      <c r="A370" s="472">
        <v>4</v>
      </c>
      <c r="C370" s="472">
        <f t="shared" si="25"/>
        <v>28</v>
      </c>
      <c r="D370" s="472">
        <f t="shared" si="26"/>
        <v>28</v>
      </c>
      <c r="E370" s="472">
        <f t="shared" si="27"/>
        <v>17</v>
      </c>
      <c r="F370" s="472" t="str">
        <f t="shared" si="29"/>
        <v>pm</v>
      </c>
      <c r="G370" s="472" t="s">
        <v>1094</v>
      </c>
      <c r="H370" s="472" t="s">
        <v>92</v>
      </c>
      <c r="I370" s="472" t="s">
        <v>1095</v>
      </c>
      <c r="K370" s="473">
        <f t="shared" si="28"/>
        <v>2650</v>
      </c>
      <c r="M370" s="473">
        <v>2650</v>
      </c>
    </row>
    <row r="371" spans="1:15">
      <c r="A371" s="472">
        <v>6</v>
      </c>
      <c r="C371" s="472">
        <f t="shared" si="25"/>
        <v>29</v>
      </c>
      <c r="D371" s="472">
        <f t="shared" si="26"/>
        <v>29</v>
      </c>
      <c r="E371" s="472">
        <f t="shared" si="27"/>
        <v>17</v>
      </c>
      <c r="F371" s="472" t="str">
        <f t="shared" si="29"/>
        <v>pm</v>
      </c>
      <c r="G371" s="472" t="s">
        <v>1096</v>
      </c>
      <c r="H371" s="472" t="s">
        <v>512</v>
      </c>
      <c r="I371" s="472" t="s">
        <v>1097</v>
      </c>
      <c r="K371" s="473">
        <f t="shared" si="28"/>
        <v>2560.0211427201684</v>
      </c>
      <c r="M371" s="473">
        <v>2633.3333333333335</v>
      </c>
      <c r="O371" s="472">
        <v>2560.0211427201684</v>
      </c>
    </row>
    <row r="372" spans="1:15">
      <c r="A372" s="472">
        <v>6</v>
      </c>
      <c r="C372" s="472">
        <f t="shared" si="25"/>
        <v>30</v>
      </c>
      <c r="D372" s="472">
        <f t="shared" si="26"/>
        <v>30</v>
      </c>
      <c r="E372" s="472">
        <f t="shared" si="27"/>
        <v>17</v>
      </c>
      <c r="F372" s="472" t="str">
        <f t="shared" si="29"/>
        <v>pm</v>
      </c>
      <c r="G372" s="472" t="s">
        <v>1098</v>
      </c>
      <c r="H372" s="472" t="s">
        <v>386</v>
      </c>
      <c r="I372" s="472" t="s">
        <v>1099</v>
      </c>
      <c r="K372" s="473">
        <f t="shared" si="28"/>
        <v>2596.7623955178847</v>
      </c>
      <c r="M372" s="473">
        <v>2633.3333333333335</v>
      </c>
      <c r="O372" s="472">
        <v>2596.7623955178847</v>
      </c>
    </row>
    <row r="373" spans="1:15">
      <c r="A373" s="472">
        <v>3</v>
      </c>
      <c r="C373" s="472">
        <f t="shared" si="25"/>
        <v>31</v>
      </c>
      <c r="D373" s="472">
        <f t="shared" si="26"/>
        <v>31</v>
      </c>
      <c r="E373" s="472">
        <f t="shared" si="27"/>
        <v>17</v>
      </c>
      <c r="F373" s="472" t="str">
        <f t="shared" si="29"/>
        <v>pm</v>
      </c>
      <c r="G373" s="472" t="s">
        <v>1100</v>
      </c>
      <c r="H373" s="472" t="s">
        <v>1101</v>
      </c>
      <c r="I373" s="472" t="s">
        <v>1102</v>
      </c>
      <c r="K373" s="473">
        <f t="shared" si="28"/>
        <v>2594.7575242772618</v>
      </c>
      <c r="M373" s="473">
        <v>2600</v>
      </c>
      <c r="O373" s="472">
        <v>2594.7575242772618</v>
      </c>
    </row>
    <row r="374" spans="1:15">
      <c r="A374" s="472">
        <v>4</v>
      </c>
      <c r="C374" s="472">
        <f t="shared" si="25"/>
        <v>32</v>
      </c>
      <c r="D374" s="472">
        <f t="shared" si="26"/>
        <v>32</v>
      </c>
      <c r="E374" s="472">
        <f t="shared" si="27"/>
        <v>17</v>
      </c>
      <c r="F374" s="472" t="str">
        <f t="shared" si="29"/>
        <v>pm</v>
      </c>
      <c r="G374" s="472" t="s">
        <v>1103</v>
      </c>
      <c r="H374" s="472" t="s">
        <v>540</v>
      </c>
      <c r="I374" s="472" t="s">
        <v>1104</v>
      </c>
      <c r="K374" s="473">
        <f t="shared" si="28"/>
        <v>2600</v>
      </c>
      <c r="M374" s="473">
        <v>2600</v>
      </c>
    </row>
    <row r="375" spans="1:15">
      <c r="A375" s="472">
        <v>2</v>
      </c>
      <c r="C375" s="472">
        <f t="shared" si="25"/>
        <v>33</v>
      </c>
      <c r="D375" s="472">
        <f t="shared" si="26"/>
        <v>32</v>
      </c>
      <c r="E375" s="472">
        <f t="shared" si="27"/>
        <v>17</v>
      </c>
      <c r="F375" s="472" t="str">
        <f t="shared" si="29"/>
        <v>so</v>
      </c>
      <c r="G375" s="472" t="s">
        <v>1105</v>
      </c>
      <c r="H375" s="472" t="s">
        <v>754</v>
      </c>
      <c r="I375" s="472" t="s">
        <v>1106</v>
      </c>
      <c r="K375" s="473">
        <f t="shared" si="28"/>
        <v>2600</v>
      </c>
      <c r="M375" s="473">
        <v>2600</v>
      </c>
    </row>
    <row r="376" spans="1:15">
      <c r="A376" s="472">
        <v>4</v>
      </c>
      <c r="C376" s="472">
        <f t="shared" si="25"/>
        <v>34</v>
      </c>
      <c r="D376" s="472">
        <f t="shared" si="26"/>
        <v>34</v>
      </c>
      <c r="E376" s="472">
        <f t="shared" si="27"/>
        <v>17</v>
      </c>
      <c r="F376" s="472" t="str">
        <f t="shared" si="29"/>
        <v>pm</v>
      </c>
      <c r="G376" s="472" t="s">
        <v>1107</v>
      </c>
      <c r="H376" s="472" t="s">
        <v>676</v>
      </c>
      <c r="I376" s="472" t="s">
        <v>1108</v>
      </c>
      <c r="K376" s="473">
        <f t="shared" si="28"/>
        <v>2455.4022605669384</v>
      </c>
      <c r="M376" s="473">
        <v>2550</v>
      </c>
      <c r="O376" s="472">
        <v>2455.4022605669384</v>
      </c>
    </row>
    <row r="377" spans="1:15">
      <c r="A377" s="472">
        <v>3</v>
      </c>
      <c r="C377" s="472">
        <f t="shared" si="25"/>
        <v>35</v>
      </c>
      <c r="D377" s="472">
        <f t="shared" si="26"/>
        <v>35</v>
      </c>
      <c r="E377" s="472">
        <f t="shared" si="27"/>
        <v>17</v>
      </c>
      <c r="F377" s="472" t="str">
        <f t="shared" si="29"/>
        <v>pm</v>
      </c>
      <c r="G377" s="472" t="s">
        <v>1109</v>
      </c>
      <c r="H377" s="472" t="s">
        <v>117</v>
      </c>
      <c r="I377" s="472" t="s">
        <v>1110</v>
      </c>
      <c r="K377" s="473">
        <f t="shared" si="28"/>
        <v>2533.3333333333335</v>
      </c>
      <c r="M377" s="473">
        <v>2533.3333333333335</v>
      </c>
    </row>
    <row r="378" spans="1:15">
      <c r="A378" s="472">
        <v>3</v>
      </c>
      <c r="C378" s="472">
        <f t="shared" si="25"/>
        <v>36</v>
      </c>
      <c r="D378" s="472">
        <f t="shared" si="26"/>
        <v>36</v>
      </c>
      <c r="E378" s="472">
        <f t="shared" si="27"/>
        <v>17</v>
      </c>
      <c r="F378" s="472" t="str">
        <f t="shared" si="29"/>
        <v>so</v>
      </c>
      <c r="G378" s="472" t="s">
        <v>1111</v>
      </c>
      <c r="H378" s="472" t="s">
        <v>867</v>
      </c>
      <c r="I378" s="472" t="s">
        <v>1112</v>
      </c>
      <c r="K378" s="473">
        <f t="shared" si="28"/>
        <v>2466.6666666666665</v>
      </c>
      <c r="M378" s="473">
        <v>2466.6666666666665</v>
      </c>
    </row>
    <row r="379" spans="1:15">
      <c r="A379" s="472">
        <v>5</v>
      </c>
      <c r="C379" s="472">
        <f t="shared" si="25"/>
        <v>37</v>
      </c>
      <c r="D379" s="472">
        <f t="shared" si="26"/>
        <v>37</v>
      </c>
      <c r="E379" s="472">
        <f t="shared" si="27"/>
        <v>17</v>
      </c>
      <c r="F379" s="472" t="str">
        <f t="shared" si="29"/>
        <v>pm</v>
      </c>
      <c r="G379" s="472" t="s">
        <v>1113</v>
      </c>
      <c r="H379" s="472" t="s">
        <v>870</v>
      </c>
      <c r="I379" s="472" t="s">
        <v>1114</v>
      </c>
      <c r="K379" s="473">
        <f t="shared" si="28"/>
        <v>2425.6436108822677</v>
      </c>
      <c r="M379" s="473">
        <v>2440</v>
      </c>
      <c r="O379" s="472">
        <v>2425.6436108822677</v>
      </c>
    </row>
    <row r="380" spans="1:15">
      <c r="A380" s="472">
        <v>5</v>
      </c>
      <c r="C380" s="472">
        <f t="shared" si="25"/>
        <v>38</v>
      </c>
      <c r="D380" s="472">
        <f t="shared" si="26"/>
        <v>38</v>
      </c>
      <c r="E380" s="472">
        <f t="shared" si="27"/>
        <v>17</v>
      </c>
      <c r="F380" s="472" t="str">
        <f t="shared" si="29"/>
        <v>pm</v>
      </c>
      <c r="G380" s="472" t="s">
        <v>1115</v>
      </c>
      <c r="H380" s="472" t="s">
        <v>301</v>
      </c>
      <c r="I380" s="472" t="s">
        <v>1116</v>
      </c>
      <c r="K380" s="473">
        <f t="shared" si="28"/>
        <v>2490.6768318830891</v>
      </c>
      <c r="M380" s="473">
        <v>2440</v>
      </c>
      <c r="O380" s="472">
        <v>2490.6768318830891</v>
      </c>
    </row>
    <row r="381" spans="1:15">
      <c r="A381" s="472">
        <v>1</v>
      </c>
      <c r="C381" s="472">
        <f t="shared" si="25"/>
        <v>39</v>
      </c>
      <c r="D381" s="472">
        <f t="shared" si="26"/>
        <v>39</v>
      </c>
      <c r="E381" s="472">
        <f t="shared" si="27"/>
        <v>17</v>
      </c>
      <c r="F381" s="472" t="str">
        <f t="shared" si="29"/>
        <v>crx</v>
      </c>
      <c r="G381" s="472" t="s">
        <v>1117</v>
      </c>
      <c r="H381" s="472" t="s">
        <v>340</v>
      </c>
      <c r="I381" s="472" t="s">
        <v>1118</v>
      </c>
      <c r="K381" s="473">
        <f t="shared" si="28"/>
        <v>2400</v>
      </c>
      <c r="M381" s="473">
        <v>2400</v>
      </c>
    </row>
    <row r="382" spans="1:15">
      <c r="A382" s="472">
        <v>4</v>
      </c>
      <c r="C382" s="472">
        <f t="shared" si="25"/>
        <v>40</v>
      </c>
      <c r="D382" s="472">
        <f t="shared" si="26"/>
        <v>39</v>
      </c>
      <c r="E382" s="472">
        <f t="shared" si="27"/>
        <v>17</v>
      </c>
      <c r="F382" s="472" t="str">
        <f t="shared" si="29"/>
        <v>pm</v>
      </c>
      <c r="G382" s="472" t="s">
        <v>1119</v>
      </c>
      <c r="H382" s="472" t="s">
        <v>397</v>
      </c>
      <c r="I382" s="472" t="s">
        <v>1120</v>
      </c>
      <c r="K382" s="473">
        <f t="shared" si="28"/>
        <v>2400</v>
      </c>
      <c r="M382" s="473">
        <v>2400</v>
      </c>
    </row>
    <row r="383" spans="1:15">
      <c r="A383" s="472">
        <v>1</v>
      </c>
      <c r="C383" s="472">
        <f t="shared" si="25"/>
        <v>41</v>
      </c>
      <c r="D383" s="472">
        <f t="shared" si="26"/>
        <v>39</v>
      </c>
      <c r="E383" s="472">
        <f t="shared" si="27"/>
        <v>17</v>
      </c>
      <c r="F383" s="472" t="str">
        <f t="shared" si="29"/>
        <v>sox</v>
      </c>
      <c r="G383" s="472" t="s">
        <v>1121</v>
      </c>
      <c r="H383" s="472" t="s">
        <v>543</v>
      </c>
      <c r="I383" s="472" t="s">
        <v>1122</v>
      </c>
      <c r="K383" s="473">
        <f t="shared" si="28"/>
        <v>2400</v>
      </c>
      <c r="M383" s="473">
        <v>2400</v>
      </c>
    </row>
    <row r="384" spans="1:15">
      <c r="A384" s="472">
        <v>2</v>
      </c>
      <c r="C384" s="472">
        <f t="shared" si="25"/>
        <v>42</v>
      </c>
      <c r="D384" s="472">
        <f t="shared" si="26"/>
        <v>39</v>
      </c>
      <c r="E384" s="472">
        <f t="shared" si="27"/>
        <v>17</v>
      </c>
      <c r="F384" s="472" t="str">
        <f t="shared" si="29"/>
        <v>pm</v>
      </c>
      <c r="G384" s="472" t="s">
        <v>1123</v>
      </c>
      <c r="H384" s="472" t="s">
        <v>154</v>
      </c>
      <c r="I384" s="472" t="s">
        <v>1124</v>
      </c>
      <c r="K384" s="473">
        <f t="shared" si="28"/>
        <v>2400</v>
      </c>
      <c r="M384" s="473">
        <v>2400</v>
      </c>
    </row>
    <row r="385" spans="1:14">
      <c r="A385" s="472">
        <v>1</v>
      </c>
      <c r="C385" s="472">
        <f t="shared" si="25"/>
        <v>43</v>
      </c>
      <c r="D385" s="472">
        <f t="shared" si="26"/>
        <v>39</v>
      </c>
      <c r="E385" s="472">
        <f t="shared" si="27"/>
        <v>17</v>
      </c>
      <c r="F385" s="472" t="str">
        <f t="shared" si="29"/>
        <v>pmx</v>
      </c>
      <c r="G385" s="472" t="s">
        <v>1125</v>
      </c>
      <c r="H385" s="472" t="s">
        <v>154</v>
      </c>
      <c r="I385" s="472" t="s">
        <v>1126</v>
      </c>
      <c r="K385" s="473">
        <f t="shared" si="28"/>
        <v>2400</v>
      </c>
      <c r="M385" s="473">
        <v>2400</v>
      </c>
    </row>
    <row r="386" spans="1:14">
      <c r="A386" s="472">
        <v>1</v>
      </c>
      <c r="C386" s="472">
        <f t="shared" ref="C386:C427" si="30">IF(E386=E385,C385+1,1)</f>
        <v>44</v>
      </c>
      <c r="D386" s="472">
        <f t="shared" ref="D386:D427" si="31">IF(K386=K385,D385,C386)</f>
        <v>39</v>
      </c>
      <c r="E386" s="472">
        <f t="shared" ref="E386:E427" si="32">10+VALUE(RIGHT(LEFT(G386,3),1))</f>
        <v>17</v>
      </c>
      <c r="F386" s="472" t="str">
        <f t="shared" si="29"/>
        <v>sox</v>
      </c>
      <c r="G386" s="472" t="s">
        <v>1127</v>
      </c>
      <c r="H386" s="472" t="s">
        <v>430</v>
      </c>
      <c r="I386" s="472" t="s">
        <v>1128</v>
      </c>
      <c r="K386" s="473">
        <f t="shared" ref="K386:K427" si="33">LOOKUP(1E+100,M386:AC386)</f>
        <v>2400</v>
      </c>
      <c r="M386" s="473">
        <v>2400</v>
      </c>
    </row>
    <row r="387" spans="1:14">
      <c r="A387" s="472">
        <v>4</v>
      </c>
      <c r="C387" s="472">
        <f t="shared" si="30"/>
        <v>45</v>
      </c>
      <c r="D387" s="472">
        <f t="shared" si="31"/>
        <v>39</v>
      </c>
      <c r="E387" s="472">
        <f t="shared" si="32"/>
        <v>17</v>
      </c>
      <c r="F387" s="472" t="str">
        <f t="shared" ref="F387:F427" si="34">RIGHT(G387,2) &amp; IF(A387&lt;2,"x","")</f>
        <v>pm</v>
      </c>
      <c r="G387" s="472" t="s">
        <v>1129</v>
      </c>
      <c r="H387" s="472" t="s">
        <v>86</v>
      </c>
      <c r="I387" s="472" t="s">
        <v>1130</v>
      </c>
      <c r="K387" s="473">
        <f t="shared" si="33"/>
        <v>2400</v>
      </c>
      <c r="M387" s="473">
        <v>2400</v>
      </c>
    </row>
    <row r="388" spans="1:14">
      <c r="A388" s="472">
        <v>1</v>
      </c>
      <c r="C388" s="472">
        <f t="shared" si="30"/>
        <v>46</v>
      </c>
      <c r="D388" s="472">
        <f t="shared" si="31"/>
        <v>39</v>
      </c>
      <c r="E388" s="472">
        <f t="shared" si="32"/>
        <v>17</v>
      </c>
      <c r="F388" s="472" t="str">
        <f t="shared" si="34"/>
        <v>crx</v>
      </c>
      <c r="G388" s="472" t="s">
        <v>1131</v>
      </c>
      <c r="H388" s="472" t="s">
        <v>747</v>
      </c>
      <c r="I388" s="472" t="s">
        <v>1132</v>
      </c>
      <c r="K388" s="473">
        <f t="shared" si="33"/>
        <v>2400</v>
      </c>
      <c r="M388" s="473">
        <v>2400</v>
      </c>
    </row>
    <row r="389" spans="1:14">
      <c r="A389" s="472">
        <v>5</v>
      </c>
      <c r="C389" s="472">
        <f t="shared" si="30"/>
        <v>47</v>
      </c>
      <c r="D389" s="472">
        <f t="shared" si="31"/>
        <v>39</v>
      </c>
      <c r="E389" s="472">
        <f t="shared" si="32"/>
        <v>17</v>
      </c>
      <c r="F389" s="472" t="str">
        <f t="shared" si="34"/>
        <v>pm</v>
      </c>
      <c r="G389" s="472" t="s">
        <v>1133</v>
      </c>
      <c r="H389" s="472" t="s">
        <v>579</v>
      </c>
      <c r="I389" s="472" t="s">
        <v>1134</v>
      </c>
      <c r="K389" s="473">
        <f t="shared" si="33"/>
        <v>2400</v>
      </c>
      <c r="M389" s="473">
        <v>2400</v>
      </c>
    </row>
    <row r="390" spans="1:14">
      <c r="A390" s="472">
        <v>4</v>
      </c>
      <c r="C390" s="472">
        <f t="shared" si="30"/>
        <v>48</v>
      </c>
      <c r="D390" s="472">
        <f t="shared" si="31"/>
        <v>39</v>
      </c>
      <c r="E390" s="472">
        <f t="shared" si="32"/>
        <v>17</v>
      </c>
      <c r="F390" s="472" t="str">
        <f t="shared" si="34"/>
        <v>pm</v>
      </c>
      <c r="G390" s="472" t="s">
        <v>1135</v>
      </c>
      <c r="H390" s="472" t="s">
        <v>1136</v>
      </c>
      <c r="I390" s="472" t="s">
        <v>1137</v>
      </c>
      <c r="K390" s="473">
        <f t="shared" si="33"/>
        <v>2400</v>
      </c>
      <c r="M390" s="473">
        <v>2400</v>
      </c>
    </row>
    <row r="391" spans="1:14">
      <c r="A391" s="472">
        <v>4</v>
      </c>
      <c r="C391" s="472">
        <f t="shared" si="30"/>
        <v>49</v>
      </c>
      <c r="D391" s="472">
        <f t="shared" si="31"/>
        <v>39</v>
      </c>
      <c r="E391" s="472">
        <f t="shared" si="32"/>
        <v>17</v>
      </c>
      <c r="F391" s="472" t="str">
        <f t="shared" si="34"/>
        <v>pm</v>
      </c>
      <c r="G391" s="472" t="s">
        <v>1138</v>
      </c>
      <c r="H391" s="472" t="s">
        <v>483</v>
      </c>
      <c r="I391" s="472" t="s">
        <v>1139</v>
      </c>
      <c r="K391" s="473">
        <f t="shared" si="33"/>
        <v>2400</v>
      </c>
      <c r="M391" s="473">
        <v>2400</v>
      </c>
    </row>
    <row r="392" spans="1:14">
      <c r="A392" s="472">
        <v>2</v>
      </c>
      <c r="C392" s="472">
        <f t="shared" si="30"/>
        <v>1</v>
      </c>
      <c r="D392" s="472">
        <f t="shared" si="31"/>
        <v>1</v>
      </c>
      <c r="E392" s="472">
        <f t="shared" si="32"/>
        <v>18</v>
      </c>
      <c r="F392" s="472" t="str">
        <f t="shared" si="34"/>
        <v>pm</v>
      </c>
      <c r="G392" s="472" t="s">
        <v>1140</v>
      </c>
      <c r="H392" s="472" t="s">
        <v>123</v>
      </c>
      <c r="I392" s="472" t="s">
        <v>1141</v>
      </c>
      <c r="K392" s="473">
        <f t="shared" si="33"/>
        <v>3013.3111133784737</v>
      </c>
      <c r="M392" s="473">
        <v>3000</v>
      </c>
      <c r="N392" s="472">
        <v>3013.3111133784737</v>
      </c>
    </row>
    <row r="393" spans="1:14">
      <c r="A393" s="472">
        <v>1</v>
      </c>
      <c r="C393" s="472">
        <f t="shared" si="30"/>
        <v>2</v>
      </c>
      <c r="D393" s="472">
        <f t="shared" si="31"/>
        <v>2</v>
      </c>
      <c r="E393" s="472">
        <f t="shared" si="32"/>
        <v>18</v>
      </c>
      <c r="F393" s="472" t="str">
        <f t="shared" si="34"/>
        <v>sox</v>
      </c>
      <c r="G393" s="472" t="s">
        <v>1142</v>
      </c>
      <c r="H393" s="472" t="s">
        <v>351</v>
      </c>
      <c r="I393" s="472" t="s">
        <v>1143</v>
      </c>
      <c r="K393" s="473">
        <f t="shared" si="33"/>
        <v>3000</v>
      </c>
      <c r="M393" s="473">
        <v>3000</v>
      </c>
    </row>
    <row r="394" spans="1:14">
      <c r="A394" s="472">
        <v>1</v>
      </c>
      <c r="C394" s="472">
        <f t="shared" si="30"/>
        <v>3</v>
      </c>
      <c r="D394" s="472">
        <f t="shared" si="31"/>
        <v>2</v>
      </c>
      <c r="E394" s="472">
        <f t="shared" si="32"/>
        <v>18</v>
      </c>
      <c r="F394" s="472" t="str">
        <f t="shared" si="34"/>
        <v>sox</v>
      </c>
      <c r="G394" s="472" t="s">
        <v>1144</v>
      </c>
      <c r="H394" s="472" t="s">
        <v>351</v>
      </c>
      <c r="I394" s="472" t="s">
        <v>1145</v>
      </c>
      <c r="K394" s="473">
        <f t="shared" si="33"/>
        <v>3000</v>
      </c>
      <c r="M394" s="473">
        <v>3000</v>
      </c>
    </row>
    <row r="395" spans="1:14">
      <c r="A395" s="472">
        <v>3</v>
      </c>
      <c r="C395" s="472">
        <f t="shared" si="30"/>
        <v>4</v>
      </c>
      <c r="D395" s="472">
        <f t="shared" si="31"/>
        <v>4</v>
      </c>
      <c r="E395" s="472">
        <f t="shared" si="32"/>
        <v>18</v>
      </c>
      <c r="F395" s="472" t="str">
        <f t="shared" si="34"/>
        <v>pm</v>
      </c>
      <c r="G395" s="472" t="s">
        <v>1146</v>
      </c>
      <c r="H395" s="472" t="s">
        <v>370</v>
      </c>
      <c r="I395" s="472" t="s">
        <v>1147</v>
      </c>
      <c r="K395" s="473">
        <f t="shared" si="33"/>
        <v>2913.866898564183</v>
      </c>
      <c r="M395" s="473">
        <v>3000</v>
      </c>
      <c r="N395" s="472">
        <v>2913.866898564183</v>
      </c>
    </row>
    <row r="396" spans="1:14">
      <c r="A396" s="472">
        <v>1</v>
      </c>
      <c r="C396" s="472">
        <f t="shared" si="30"/>
        <v>5</v>
      </c>
      <c r="D396" s="472">
        <f t="shared" si="31"/>
        <v>5</v>
      </c>
      <c r="E396" s="472">
        <f t="shared" si="32"/>
        <v>18</v>
      </c>
      <c r="F396" s="472" t="str">
        <f t="shared" si="34"/>
        <v>crx</v>
      </c>
      <c r="G396" s="472" t="s">
        <v>1148</v>
      </c>
      <c r="H396" s="472" t="s">
        <v>1046</v>
      </c>
      <c r="I396" s="472" t="s">
        <v>1149</v>
      </c>
      <c r="K396" s="473">
        <f t="shared" si="33"/>
        <v>3000</v>
      </c>
      <c r="M396" s="473">
        <v>3000</v>
      </c>
    </row>
    <row r="397" spans="1:14">
      <c r="A397" s="472">
        <v>3</v>
      </c>
      <c r="C397" s="472">
        <f t="shared" si="30"/>
        <v>6</v>
      </c>
      <c r="D397" s="472">
        <f t="shared" si="31"/>
        <v>6</v>
      </c>
      <c r="E397" s="472">
        <f t="shared" si="32"/>
        <v>18</v>
      </c>
      <c r="F397" s="472" t="str">
        <f t="shared" si="34"/>
        <v>pm</v>
      </c>
      <c r="G397" s="472" t="s">
        <v>1150</v>
      </c>
      <c r="H397" s="472" t="s">
        <v>331</v>
      </c>
      <c r="I397" s="472" t="s">
        <v>1151</v>
      </c>
      <c r="K397" s="473">
        <f t="shared" si="33"/>
        <v>3042.4287957562287</v>
      </c>
      <c r="M397" s="473">
        <v>3000</v>
      </c>
      <c r="N397" s="472">
        <v>3042.4287957562287</v>
      </c>
    </row>
    <row r="398" spans="1:14">
      <c r="A398" s="472">
        <v>1</v>
      </c>
      <c r="C398" s="472">
        <f t="shared" si="30"/>
        <v>7</v>
      </c>
      <c r="D398" s="472">
        <f t="shared" si="31"/>
        <v>7</v>
      </c>
      <c r="E398" s="472">
        <f t="shared" si="32"/>
        <v>18</v>
      </c>
      <c r="F398" s="472" t="str">
        <f t="shared" si="34"/>
        <v>sox</v>
      </c>
      <c r="G398" s="472" t="s">
        <v>1152</v>
      </c>
      <c r="H398" s="472" t="s">
        <v>529</v>
      </c>
      <c r="I398" s="472" t="s">
        <v>1153</v>
      </c>
      <c r="K398" s="473">
        <f t="shared" si="33"/>
        <v>3000</v>
      </c>
      <c r="M398" s="473">
        <v>3000</v>
      </c>
    </row>
    <row r="399" spans="1:14">
      <c r="A399" s="472">
        <v>1</v>
      </c>
      <c r="C399" s="472">
        <f t="shared" si="30"/>
        <v>8</v>
      </c>
      <c r="D399" s="472">
        <f t="shared" si="31"/>
        <v>7</v>
      </c>
      <c r="E399" s="472">
        <f t="shared" si="32"/>
        <v>18</v>
      </c>
      <c r="F399" s="472" t="str">
        <f t="shared" si="34"/>
        <v>pmx</v>
      </c>
      <c r="G399" s="472" t="s">
        <v>1154</v>
      </c>
      <c r="H399" s="472" t="s">
        <v>449</v>
      </c>
      <c r="I399" s="472" t="s">
        <v>1155</v>
      </c>
      <c r="K399" s="473">
        <f t="shared" si="33"/>
        <v>3000</v>
      </c>
      <c r="M399" s="473">
        <v>3000</v>
      </c>
    </row>
    <row r="400" spans="1:14">
      <c r="A400" s="472">
        <v>4</v>
      </c>
      <c r="C400" s="472">
        <f t="shared" si="30"/>
        <v>9</v>
      </c>
      <c r="D400" s="472">
        <f t="shared" si="31"/>
        <v>9</v>
      </c>
      <c r="E400" s="472">
        <f t="shared" si="32"/>
        <v>18</v>
      </c>
      <c r="F400" s="472" t="str">
        <f t="shared" si="34"/>
        <v>pm</v>
      </c>
      <c r="G400" s="472" t="s">
        <v>1156</v>
      </c>
      <c r="H400" s="472" t="s">
        <v>799</v>
      </c>
      <c r="I400" s="472" t="s">
        <v>1157</v>
      </c>
      <c r="K400" s="473">
        <f t="shared" si="33"/>
        <v>2980.2992862947854</v>
      </c>
      <c r="M400" s="473">
        <v>3000</v>
      </c>
      <c r="N400" s="472">
        <v>2980.2992862947854</v>
      </c>
    </row>
    <row r="401" spans="1:14">
      <c r="A401" s="472">
        <v>6</v>
      </c>
      <c r="C401" s="472">
        <f t="shared" si="30"/>
        <v>10</v>
      </c>
      <c r="D401" s="472">
        <f t="shared" si="31"/>
        <v>10</v>
      </c>
      <c r="E401" s="472">
        <f t="shared" si="32"/>
        <v>18</v>
      </c>
      <c r="F401" s="472" t="str">
        <f t="shared" si="34"/>
        <v>pm</v>
      </c>
      <c r="G401" s="472" t="s">
        <v>1158</v>
      </c>
      <c r="H401" s="472" t="s">
        <v>394</v>
      </c>
      <c r="I401" s="472" t="s">
        <v>1159</v>
      </c>
      <c r="K401" s="473">
        <f t="shared" si="33"/>
        <v>3000</v>
      </c>
      <c r="M401" s="473">
        <v>3000</v>
      </c>
    </row>
    <row r="402" spans="1:14">
      <c r="A402" s="472">
        <v>6</v>
      </c>
      <c r="C402" s="472">
        <f t="shared" si="30"/>
        <v>11</v>
      </c>
      <c r="D402" s="472">
        <f t="shared" si="31"/>
        <v>11</v>
      </c>
      <c r="E402" s="472">
        <f t="shared" si="32"/>
        <v>18</v>
      </c>
      <c r="F402" s="472" t="str">
        <f t="shared" si="34"/>
        <v>pm</v>
      </c>
      <c r="G402" s="472" t="s">
        <v>1160</v>
      </c>
      <c r="H402" s="472" t="s">
        <v>421</v>
      </c>
      <c r="I402" s="472" t="s">
        <v>1161</v>
      </c>
      <c r="K402" s="473">
        <f t="shared" si="33"/>
        <v>2917.3787570454606</v>
      </c>
      <c r="M402" s="473">
        <v>3000</v>
      </c>
      <c r="N402" s="472">
        <v>2917.3787570454606</v>
      </c>
    </row>
    <row r="403" spans="1:14">
      <c r="A403" s="472">
        <v>1</v>
      </c>
      <c r="C403" s="472">
        <f t="shared" si="30"/>
        <v>12</v>
      </c>
      <c r="D403" s="472">
        <f t="shared" si="31"/>
        <v>12</v>
      </c>
      <c r="E403" s="472">
        <f t="shared" si="32"/>
        <v>18</v>
      </c>
      <c r="F403" s="472" t="str">
        <f t="shared" si="34"/>
        <v>odx</v>
      </c>
      <c r="G403" s="472" t="s">
        <v>1162</v>
      </c>
      <c r="H403" s="472" t="s">
        <v>811</v>
      </c>
      <c r="I403" s="472" t="s">
        <v>812</v>
      </c>
      <c r="K403" s="473">
        <f t="shared" si="33"/>
        <v>3096.2801230484952</v>
      </c>
      <c r="M403" s="473">
        <v>3000</v>
      </c>
      <c r="N403" s="472">
        <v>3096.2801230484952</v>
      </c>
    </row>
    <row r="404" spans="1:14">
      <c r="A404" s="472">
        <v>2</v>
      </c>
      <c r="C404" s="472">
        <f t="shared" si="30"/>
        <v>13</v>
      </c>
      <c r="D404" s="472">
        <f t="shared" si="31"/>
        <v>13</v>
      </c>
      <c r="E404" s="472">
        <f t="shared" si="32"/>
        <v>18</v>
      </c>
      <c r="F404" s="472" t="str">
        <f t="shared" si="34"/>
        <v>pm</v>
      </c>
      <c r="G404" s="472" t="s">
        <v>1163</v>
      </c>
      <c r="H404" s="472" t="s">
        <v>154</v>
      </c>
      <c r="I404" s="472" t="s">
        <v>1164</v>
      </c>
      <c r="K404" s="473">
        <f t="shared" si="33"/>
        <v>3000</v>
      </c>
      <c r="M404" s="473">
        <v>3000</v>
      </c>
    </row>
    <row r="405" spans="1:14">
      <c r="A405" s="472">
        <v>2</v>
      </c>
      <c r="C405" s="472">
        <f t="shared" si="30"/>
        <v>14</v>
      </c>
      <c r="D405" s="472">
        <f t="shared" si="31"/>
        <v>13</v>
      </c>
      <c r="E405" s="472">
        <f t="shared" si="32"/>
        <v>18</v>
      </c>
      <c r="F405" s="472" t="str">
        <f t="shared" si="34"/>
        <v>pm</v>
      </c>
      <c r="G405" s="472" t="s">
        <v>1165</v>
      </c>
      <c r="H405" s="472" t="s">
        <v>154</v>
      </c>
      <c r="I405" s="472" t="s">
        <v>1166</v>
      </c>
      <c r="K405" s="473">
        <f t="shared" si="33"/>
        <v>3000</v>
      </c>
      <c r="M405" s="473">
        <v>3000</v>
      </c>
    </row>
    <row r="406" spans="1:14">
      <c r="A406" s="472">
        <v>1</v>
      </c>
      <c r="C406" s="472">
        <f t="shared" si="30"/>
        <v>15</v>
      </c>
      <c r="D406" s="472">
        <f t="shared" si="31"/>
        <v>13</v>
      </c>
      <c r="E406" s="472">
        <f t="shared" si="32"/>
        <v>18</v>
      </c>
      <c r="F406" s="472" t="str">
        <f t="shared" si="34"/>
        <v>sox</v>
      </c>
      <c r="G406" s="472" t="s">
        <v>1167</v>
      </c>
      <c r="H406" s="472" t="s">
        <v>630</v>
      </c>
      <c r="I406" s="472" t="s">
        <v>1168</v>
      </c>
      <c r="K406" s="473">
        <f t="shared" si="33"/>
        <v>3000</v>
      </c>
      <c r="M406" s="473">
        <v>3000</v>
      </c>
    </row>
    <row r="407" spans="1:14">
      <c r="A407" s="472">
        <v>1</v>
      </c>
      <c r="C407" s="472">
        <f t="shared" si="30"/>
        <v>16</v>
      </c>
      <c r="D407" s="472">
        <f t="shared" si="31"/>
        <v>13</v>
      </c>
      <c r="E407" s="472">
        <f t="shared" si="32"/>
        <v>18</v>
      </c>
      <c r="F407" s="472" t="str">
        <f t="shared" si="34"/>
        <v>odx</v>
      </c>
      <c r="G407" s="472" t="s">
        <v>1169</v>
      </c>
      <c r="H407" s="472" t="s">
        <v>635</v>
      </c>
      <c r="I407" s="472" t="s">
        <v>1170</v>
      </c>
      <c r="K407" s="473">
        <f t="shared" si="33"/>
        <v>3000</v>
      </c>
      <c r="M407" s="473">
        <v>3000</v>
      </c>
    </row>
    <row r="408" spans="1:14">
      <c r="A408" s="472">
        <v>1</v>
      </c>
      <c r="C408" s="472">
        <f t="shared" si="30"/>
        <v>17</v>
      </c>
      <c r="D408" s="472">
        <f t="shared" si="31"/>
        <v>13</v>
      </c>
      <c r="E408" s="472">
        <f t="shared" si="32"/>
        <v>18</v>
      </c>
      <c r="F408" s="472" t="str">
        <f t="shared" si="34"/>
        <v>sox</v>
      </c>
      <c r="G408" s="472" t="s">
        <v>1171</v>
      </c>
      <c r="H408" s="472" t="s">
        <v>1172</v>
      </c>
      <c r="I408" s="472" t="s">
        <v>1173</v>
      </c>
      <c r="K408" s="473">
        <f t="shared" si="33"/>
        <v>3000</v>
      </c>
      <c r="M408" s="473">
        <v>3000</v>
      </c>
    </row>
    <row r="409" spans="1:14">
      <c r="A409" s="472">
        <v>2</v>
      </c>
      <c r="C409" s="472">
        <f t="shared" si="30"/>
        <v>18</v>
      </c>
      <c r="D409" s="472">
        <f t="shared" si="31"/>
        <v>13</v>
      </c>
      <c r="E409" s="472">
        <f t="shared" si="32"/>
        <v>18</v>
      </c>
      <c r="F409" s="472" t="str">
        <f t="shared" si="34"/>
        <v>pm</v>
      </c>
      <c r="G409" s="472" t="s">
        <v>1174</v>
      </c>
      <c r="H409" s="472" t="s">
        <v>86</v>
      </c>
      <c r="I409" s="472" t="s">
        <v>1175</v>
      </c>
      <c r="K409" s="473">
        <f t="shared" si="33"/>
        <v>3000</v>
      </c>
      <c r="M409" s="473">
        <v>3000</v>
      </c>
    </row>
    <row r="410" spans="1:14">
      <c r="A410" s="472">
        <v>1</v>
      </c>
      <c r="C410" s="472">
        <f t="shared" si="30"/>
        <v>19</v>
      </c>
      <c r="D410" s="472">
        <f t="shared" si="31"/>
        <v>13</v>
      </c>
      <c r="E410" s="472">
        <f t="shared" si="32"/>
        <v>18</v>
      </c>
      <c r="F410" s="472" t="str">
        <f t="shared" si="34"/>
        <v>crx</v>
      </c>
      <c r="G410" s="472" t="s">
        <v>1176</v>
      </c>
      <c r="H410" s="472" t="s">
        <v>836</v>
      </c>
      <c r="I410" s="472" t="s">
        <v>1177</v>
      </c>
      <c r="K410" s="473">
        <f t="shared" si="33"/>
        <v>3000</v>
      </c>
      <c r="M410" s="473">
        <v>3000</v>
      </c>
    </row>
    <row r="411" spans="1:14">
      <c r="A411" s="472">
        <v>1</v>
      </c>
      <c r="C411" s="472">
        <f t="shared" si="30"/>
        <v>20</v>
      </c>
      <c r="D411" s="472">
        <f t="shared" si="31"/>
        <v>13</v>
      </c>
      <c r="E411" s="472">
        <f t="shared" si="32"/>
        <v>18</v>
      </c>
      <c r="F411" s="472" t="str">
        <f t="shared" si="34"/>
        <v>crx</v>
      </c>
      <c r="G411" s="472" t="s">
        <v>1178</v>
      </c>
      <c r="H411" s="472" t="s">
        <v>836</v>
      </c>
      <c r="I411" s="472" t="s">
        <v>1179</v>
      </c>
      <c r="K411" s="473">
        <f t="shared" si="33"/>
        <v>3000</v>
      </c>
      <c r="M411" s="473">
        <v>3000</v>
      </c>
    </row>
    <row r="412" spans="1:14">
      <c r="A412" s="472">
        <v>1</v>
      </c>
      <c r="C412" s="472">
        <f t="shared" si="30"/>
        <v>21</v>
      </c>
      <c r="D412" s="472">
        <f t="shared" si="31"/>
        <v>21</v>
      </c>
      <c r="E412" s="472">
        <f t="shared" si="32"/>
        <v>18</v>
      </c>
      <c r="F412" s="472" t="str">
        <f t="shared" si="34"/>
        <v>crx</v>
      </c>
      <c r="G412" s="472" t="s">
        <v>1180</v>
      </c>
      <c r="H412" s="472" t="s">
        <v>843</v>
      </c>
      <c r="I412" s="472" t="s">
        <v>1181</v>
      </c>
      <c r="K412" s="473">
        <f t="shared" si="33"/>
        <v>2937.5737782198325</v>
      </c>
      <c r="M412" s="473">
        <v>3000</v>
      </c>
      <c r="N412" s="472">
        <v>2937.5737782198325</v>
      </c>
    </row>
    <row r="413" spans="1:14">
      <c r="A413" s="472">
        <v>5</v>
      </c>
      <c r="C413" s="472">
        <f t="shared" si="30"/>
        <v>22</v>
      </c>
      <c r="D413" s="472">
        <f t="shared" si="31"/>
        <v>22</v>
      </c>
      <c r="E413" s="472">
        <f t="shared" si="32"/>
        <v>18</v>
      </c>
      <c r="F413" s="472" t="str">
        <f t="shared" si="34"/>
        <v>pm</v>
      </c>
      <c r="G413" s="472" t="s">
        <v>1182</v>
      </c>
      <c r="H413" s="472" t="s">
        <v>654</v>
      </c>
      <c r="I413" s="472" t="s">
        <v>1183</v>
      </c>
      <c r="K413" s="473">
        <f t="shared" si="33"/>
        <v>3009.2514829430538</v>
      </c>
      <c r="M413" s="473">
        <v>3000</v>
      </c>
      <c r="N413" s="472">
        <v>3009.2514829430538</v>
      </c>
    </row>
    <row r="414" spans="1:14">
      <c r="A414" s="472">
        <v>1</v>
      </c>
      <c r="C414" s="472">
        <f t="shared" si="30"/>
        <v>23</v>
      </c>
      <c r="D414" s="472">
        <f t="shared" si="31"/>
        <v>23</v>
      </c>
      <c r="E414" s="472">
        <f t="shared" si="32"/>
        <v>18</v>
      </c>
      <c r="F414" s="472" t="str">
        <f t="shared" si="34"/>
        <v>pmx</v>
      </c>
      <c r="G414" s="472" t="s">
        <v>1184</v>
      </c>
      <c r="H414" s="472" t="s">
        <v>346</v>
      </c>
      <c r="I414" s="472" t="s">
        <v>1185</v>
      </c>
      <c r="K414" s="473">
        <f t="shared" si="33"/>
        <v>3000</v>
      </c>
      <c r="M414" s="473">
        <v>3000</v>
      </c>
    </row>
    <row r="415" spans="1:14">
      <c r="A415" s="472">
        <v>1</v>
      </c>
      <c r="C415" s="472">
        <f t="shared" si="30"/>
        <v>24</v>
      </c>
      <c r="D415" s="472">
        <f t="shared" si="31"/>
        <v>23</v>
      </c>
      <c r="E415" s="472">
        <f t="shared" si="32"/>
        <v>18</v>
      </c>
      <c r="F415" s="472" t="str">
        <f t="shared" si="34"/>
        <v>pmx</v>
      </c>
      <c r="G415" s="472" t="s">
        <v>1186</v>
      </c>
      <c r="H415" s="472" t="s">
        <v>346</v>
      </c>
      <c r="I415" s="472" t="s">
        <v>1187</v>
      </c>
      <c r="K415" s="473">
        <f t="shared" si="33"/>
        <v>3000</v>
      </c>
      <c r="M415" s="473">
        <v>3000</v>
      </c>
    </row>
    <row r="416" spans="1:14">
      <c r="A416" s="472">
        <v>1</v>
      </c>
      <c r="C416" s="472">
        <f t="shared" si="30"/>
        <v>25</v>
      </c>
      <c r="D416" s="472">
        <f t="shared" si="31"/>
        <v>23</v>
      </c>
      <c r="E416" s="472">
        <f t="shared" si="32"/>
        <v>18</v>
      </c>
      <c r="F416" s="472" t="str">
        <f t="shared" si="34"/>
        <v>pmx</v>
      </c>
      <c r="G416" s="472" t="s">
        <v>1188</v>
      </c>
      <c r="H416" s="472" t="s">
        <v>346</v>
      </c>
      <c r="I416" s="472" t="s">
        <v>1189</v>
      </c>
      <c r="K416" s="473">
        <f t="shared" si="33"/>
        <v>3000</v>
      </c>
      <c r="M416" s="473">
        <v>3000</v>
      </c>
    </row>
    <row r="417" spans="1:15">
      <c r="A417" s="472">
        <v>4</v>
      </c>
      <c r="C417" s="472">
        <f t="shared" si="30"/>
        <v>26</v>
      </c>
      <c r="D417" s="472">
        <f t="shared" si="31"/>
        <v>26</v>
      </c>
      <c r="E417" s="472">
        <f t="shared" si="32"/>
        <v>18</v>
      </c>
      <c r="F417" s="472" t="str">
        <f t="shared" si="34"/>
        <v>pm</v>
      </c>
      <c r="G417" s="472" t="s">
        <v>1190</v>
      </c>
      <c r="H417" s="472" t="s">
        <v>1191</v>
      </c>
      <c r="I417" s="472" t="s">
        <v>1192</v>
      </c>
      <c r="K417" s="473">
        <f t="shared" si="33"/>
        <v>2900</v>
      </c>
      <c r="M417" s="473">
        <v>2900</v>
      </c>
    </row>
    <row r="418" spans="1:15">
      <c r="A418" s="472">
        <v>4</v>
      </c>
      <c r="C418" s="472">
        <f t="shared" si="30"/>
        <v>27</v>
      </c>
      <c r="D418" s="472">
        <f t="shared" si="31"/>
        <v>27</v>
      </c>
      <c r="E418" s="472">
        <f t="shared" si="32"/>
        <v>18</v>
      </c>
      <c r="F418" s="472" t="str">
        <f t="shared" si="34"/>
        <v>pm</v>
      </c>
      <c r="G418" s="472" t="s">
        <v>1193</v>
      </c>
      <c r="H418" s="472" t="s">
        <v>301</v>
      </c>
      <c r="I418" s="472" t="s">
        <v>1194</v>
      </c>
      <c r="K418" s="473">
        <f t="shared" si="33"/>
        <v>2846.6730164220471</v>
      </c>
      <c r="M418" s="473">
        <v>2900</v>
      </c>
      <c r="O418" s="472">
        <v>2846.6730164220471</v>
      </c>
    </row>
    <row r="419" spans="1:15">
      <c r="A419" s="472">
        <v>4</v>
      </c>
      <c r="C419" s="472">
        <f t="shared" si="30"/>
        <v>28</v>
      </c>
      <c r="D419" s="472">
        <f t="shared" si="31"/>
        <v>28</v>
      </c>
      <c r="E419" s="472">
        <f t="shared" si="32"/>
        <v>18</v>
      </c>
      <c r="F419" s="472" t="str">
        <f t="shared" si="34"/>
        <v>pm</v>
      </c>
      <c r="G419" s="472" t="s">
        <v>1195</v>
      </c>
      <c r="H419" s="472" t="s">
        <v>402</v>
      </c>
      <c r="I419" s="472" t="s">
        <v>1196</v>
      </c>
      <c r="K419" s="473">
        <f t="shared" si="33"/>
        <v>2779.3399633647014</v>
      </c>
      <c r="M419" s="473">
        <v>2700</v>
      </c>
      <c r="O419" s="472">
        <v>2779.3399633647014</v>
      </c>
    </row>
    <row r="420" spans="1:15">
      <c r="A420" s="472">
        <v>6</v>
      </c>
      <c r="C420" s="472">
        <f t="shared" si="30"/>
        <v>29</v>
      </c>
      <c r="D420" s="472">
        <f t="shared" si="31"/>
        <v>29</v>
      </c>
      <c r="E420" s="472">
        <f t="shared" si="32"/>
        <v>18</v>
      </c>
      <c r="F420" s="472" t="str">
        <f t="shared" si="34"/>
        <v>pm</v>
      </c>
      <c r="G420" s="472" t="s">
        <v>1197</v>
      </c>
      <c r="H420" s="472" t="s">
        <v>671</v>
      </c>
      <c r="I420" s="472" t="s">
        <v>1198</v>
      </c>
      <c r="K420" s="473">
        <f t="shared" si="33"/>
        <v>2611.9315376700629</v>
      </c>
      <c r="M420" s="473">
        <v>2666.6666666666665</v>
      </c>
      <c r="O420" s="472">
        <v>2611.9315376700629</v>
      </c>
    </row>
    <row r="421" spans="1:15">
      <c r="A421" s="472">
        <v>6</v>
      </c>
      <c r="C421" s="472">
        <f t="shared" si="30"/>
        <v>30</v>
      </c>
      <c r="D421" s="472">
        <f t="shared" si="31"/>
        <v>30</v>
      </c>
      <c r="E421" s="472">
        <f t="shared" si="32"/>
        <v>18</v>
      </c>
      <c r="F421" s="472" t="str">
        <f t="shared" si="34"/>
        <v>pm</v>
      </c>
      <c r="G421" s="472" t="s">
        <v>1199</v>
      </c>
      <c r="H421" s="472" t="s">
        <v>687</v>
      </c>
      <c r="I421" s="472" t="s">
        <v>1200</v>
      </c>
      <c r="K421" s="473">
        <f t="shared" si="33"/>
        <v>2577.1044117324004</v>
      </c>
      <c r="M421" s="473">
        <v>2600</v>
      </c>
      <c r="O421" s="472">
        <v>2577.1044117324004</v>
      </c>
    </row>
    <row r="422" spans="1:15">
      <c r="A422" s="472">
        <v>2</v>
      </c>
      <c r="C422" s="472">
        <f t="shared" si="30"/>
        <v>31</v>
      </c>
      <c r="D422" s="472">
        <f t="shared" si="31"/>
        <v>31</v>
      </c>
      <c r="E422" s="472">
        <f t="shared" si="32"/>
        <v>18</v>
      </c>
      <c r="F422" s="472" t="str">
        <f t="shared" si="34"/>
        <v>cr</v>
      </c>
      <c r="G422" s="472" t="s">
        <v>1201</v>
      </c>
      <c r="H422" s="472" t="s">
        <v>405</v>
      </c>
      <c r="I422" s="472" t="s">
        <v>1202</v>
      </c>
      <c r="K422" s="473">
        <f t="shared" si="33"/>
        <v>2600</v>
      </c>
      <c r="M422" s="473">
        <v>2600</v>
      </c>
    </row>
    <row r="423" spans="1:15">
      <c r="A423" s="472">
        <v>1</v>
      </c>
      <c r="C423" s="472">
        <f t="shared" si="30"/>
        <v>32</v>
      </c>
      <c r="D423" s="472">
        <f t="shared" si="31"/>
        <v>31</v>
      </c>
      <c r="E423" s="472">
        <f t="shared" si="32"/>
        <v>18</v>
      </c>
      <c r="F423" s="472" t="str">
        <f t="shared" si="34"/>
        <v>sox</v>
      </c>
      <c r="G423" s="472" t="s">
        <v>1203</v>
      </c>
      <c r="H423" s="472" t="s">
        <v>430</v>
      </c>
      <c r="I423" s="472" t="s">
        <v>1204</v>
      </c>
      <c r="K423" s="473">
        <f t="shared" si="33"/>
        <v>2600</v>
      </c>
      <c r="M423" s="473">
        <v>2600</v>
      </c>
    </row>
    <row r="424" spans="1:15">
      <c r="A424" s="472">
        <v>1</v>
      </c>
      <c r="C424" s="472">
        <f t="shared" si="30"/>
        <v>33</v>
      </c>
      <c r="D424" s="472">
        <f t="shared" si="31"/>
        <v>33</v>
      </c>
      <c r="E424" s="472">
        <f t="shared" si="32"/>
        <v>18</v>
      </c>
      <c r="F424" s="472" t="str">
        <f t="shared" si="34"/>
        <v>crx</v>
      </c>
      <c r="G424" s="472" t="s">
        <v>1205</v>
      </c>
      <c r="H424" s="472" t="s">
        <v>1012</v>
      </c>
      <c r="I424" s="472" t="s">
        <v>1206</v>
      </c>
      <c r="K424" s="473">
        <f t="shared" si="33"/>
        <v>2640.8674746048582</v>
      </c>
      <c r="M424" s="473">
        <v>2600</v>
      </c>
      <c r="O424" s="472">
        <v>2640.8674746048582</v>
      </c>
    </row>
    <row r="425" spans="1:15">
      <c r="A425" s="472">
        <v>7</v>
      </c>
      <c r="C425" s="472">
        <f t="shared" si="30"/>
        <v>34</v>
      </c>
      <c r="D425" s="472">
        <f t="shared" si="31"/>
        <v>34</v>
      </c>
      <c r="E425" s="472">
        <f t="shared" si="32"/>
        <v>18</v>
      </c>
      <c r="F425" s="472" t="str">
        <f t="shared" si="34"/>
        <v>pm</v>
      </c>
      <c r="G425" s="472" t="s">
        <v>1207</v>
      </c>
      <c r="H425" s="472" t="s">
        <v>1012</v>
      </c>
      <c r="I425" s="472" t="s">
        <v>1208</v>
      </c>
      <c r="K425" s="473">
        <f t="shared" si="33"/>
        <v>2642.7403530234815</v>
      </c>
      <c r="M425" s="473">
        <v>2600</v>
      </c>
      <c r="O425" s="472">
        <v>2642.7403530234815</v>
      </c>
    </row>
    <row r="426" spans="1:15">
      <c r="A426" s="472">
        <v>5</v>
      </c>
      <c r="C426" s="472">
        <f t="shared" si="30"/>
        <v>35</v>
      </c>
      <c r="D426" s="472">
        <f t="shared" si="31"/>
        <v>35</v>
      </c>
      <c r="E426" s="472">
        <f t="shared" si="32"/>
        <v>18</v>
      </c>
      <c r="F426" s="472" t="str">
        <f t="shared" si="34"/>
        <v>pm</v>
      </c>
      <c r="G426" s="472" t="s">
        <v>1209</v>
      </c>
      <c r="H426" s="472" t="s">
        <v>579</v>
      </c>
      <c r="I426" s="472" t="s">
        <v>1210</v>
      </c>
      <c r="K426" s="473">
        <f t="shared" si="33"/>
        <v>2600</v>
      </c>
      <c r="M426" s="473">
        <v>2600</v>
      </c>
    </row>
    <row r="427" spans="1:15">
      <c r="A427" s="472">
        <v>4</v>
      </c>
      <c r="C427" s="472">
        <f t="shared" si="30"/>
        <v>36</v>
      </c>
      <c r="D427" s="472">
        <f t="shared" si="31"/>
        <v>36</v>
      </c>
      <c r="E427" s="472">
        <f t="shared" si="32"/>
        <v>18</v>
      </c>
      <c r="F427" s="472" t="str">
        <f t="shared" si="34"/>
        <v>pm</v>
      </c>
      <c r="G427" s="472" t="s">
        <v>1211</v>
      </c>
      <c r="H427" s="472" t="s">
        <v>1212</v>
      </c>
      <c r="I427" s="472" t="s">
        <v>1213</v>
      </c>
      <c r="K427" s="473">
        <f t="shared" si="33"/>
        <v>2685.7083809585338</v>
      </c>
      <c r="M427" s="473">
        <v>2600</v>
      </c>
      <c r="O427" s="472">
        <v>2685.7083809585338</v>
      </c>
    </row>
  </sheetData>
  <conditionalFormatting sqref="G1:I1">
    <cfRule type="containsText" dxfId="350" priority="117" operator="containsText" text="CSRA">
      <formula>NOT(ISERROR(SEARCH("CSRA",G1)))</formula>
    </cfRule>
  </conditionalFormatting>
  <conditionalFormatting sqref="AK1:XFD1048576 A1:AH1048576">
    <cfRule type="expression" dxfId="349" priority="109">
      <formula>$E1&lt;12</formula>
    </cfRule>
    <cfRule type="expression" dxfId="348" priority="110">
      <formula>$E1=18</formula>
    </cfRule>
    <cfRule type="expression" dxfId="347" priority="111">
      <formula>$E1=17</formula>
    </cfRule>
    <cfRule type="expression" dxfId="346" priority="112">
      <formula>$E1=16</formula>
    </cfRule>
    <cfRule type="expression" dxfId="345" priority="113">
      <formula>$E1=15</formula>
    </cfRule>
    <cfRule type="expression" dxfId="344" priority="114">
      <formula>$E1=14</formula>
    </cfRule>
    <cfRule type="expression" dxfId="343" priority="115">
      <formula>$E1=13</formula>
    </cfRule>
    <cfRule type="expression" dxfId="342" priority="116">
      <formula>$E1=12</formula>
    </cfRule>
  </conditionalFormatting>
  <conditionalFormatting sqref="AK1:XFD1048576 A1:AH1048576">
    <cfRule type="expression" dxfId="341" priority="100">
      <formula>$E1=10</formula>
    </cfRule>
    <cfRule type="expression" dxfId="340" priority="101">
      <formula>$E1=11</formula>
    </cfRule>
    <cfRule type="expression" dxfId="339" priority="102">
      <formula>$E1=18</formula>
    </cfRule>
    <cfRule type="expression" dxfId="338" priority="103">
      <formula>$E1=17</formula>
    </cfRule>
    <cfRule type="expression" dxfId="337" priority="104">
      <formula>$E1=16</formula>
    </cfRule>
    <cfRule type="expression" dxfId="336" priority="105">
      <formula>$E1=15</formula>
    </cfRule>
    <cfRule type="expression" dxfId="335" priority="106">
      <formula>$E1=14</formula>
    </cfRule>
    <cfRule type="expression" dxfId="334" priority="107">
      <formula>$E1=13</formula>
    </cfRule>
    <cfRule type="expression" dxfId="333" priority="108">
      <formula>$E1=12</formula>
    </cfRule>
  </conditionalFormatting>
  <conditionalFormatting sqref="A255:AH255 AK255:XFD255">
    <cfRule type="expression" dxfId="332" priority="91">
      <formula>$E255=10</formula>
    </cfRule>
    <cfRule type="expression" dxfId="331" priority="92">
      <formula>$E255=11</formula>
    </cfRule>
    <cfRule type="expression" dxfId="330" priority="93">
      <formula>$E255=18</formula>
    </cfRule>
    <cfRule type="expression" dxfId="329" priority="94">
      <formula>$E255=17</formula>
    </cfRule>
    <cfRule type="expression" dxfId="328" priority="95">
      <formula>$E255=16</formula>
    </cfRule>
    <cfRule type="expression" dxfId="327" priority="96">
      <formula>$E255=15</formula>
    </cfRule>
    <cfRule type="expression" dxfId="326" priority="97">
      <formula>$E255=14</formula>
    </cfRule>
    <cfRule type="expression" dxfId="325" priority="98">
      <formula>$E255=13</formula>
    </cfRule>
    <cfRule type="expression" dxfId="324" priority="99">
      <formula>$E255=12</formula>
    </cfRule>
  </conditionalFormatting>
  <conditionalFormatting sqref="AK265:XFD268 IX258:XFD263 A265:AH268">
    <cfRule type="expression" dxfId="323" priority="82">
      <formula>$E258=10</formula>
    </cfRule>
    <cfRule type="expression" dxfId="322" priority="83">
      <formula>$E258=11</formula>
    </cfRule>
    <cfRule type="expression" dxfId="321" priority="84">
      <formula>$E258=18</formula>
    </cfRule>
    <cfRule type="expression" dxfId="320" priority="85">
      <formula>$E258=17</formula>
    </cfRule>
    <cfRule type="expression" dxfId="319" priority="86">
      <formula>$E258=16</formula>
    </cfRule>
    <cfRule type="expression" dxfId="318" priority="87">
      <formula>$E258=15</formula>
    </cfRule>
    <cfRule type="expression" dxfId="317" priority="88">
      <formula>$E258=14</formula>
    </cfRule>
    <cfRule type="expression" dxfId="316" priority="89">
      <formula>$E258=13</formula>
    </cfRule>
    <cfRule type="expression" dxfId="315" priority="90">
      <formula>$E258=12</formula>
    </cfRule>
  </conditionalFormatting>
  <conditionalFormatting sqref="A262:AH262 A261:F261 J261:AH261 H263 K263:AH263 A263:F263 AK261:IW263">
    <cfRule type="expression" dxfId="314" priority="73">
      <formula>$E261=10</formula>
    </cfRule>
    <cfRule type="expression" dxfId="313" priority="74">
      <formula>$E261=11</formula>
    </cfRule>
    <cfRule type="expression" dxfId="312" priority="75">
      <formula>$E261=18</formula>
    </cfRule>
    <cfRule type="expression" dxfId="311" priority="76">
      <formula>$E261=17</formula>
    </cfRule>
    <cfRule type="expression" dxfId="310" priority="77">
      <formula>$E261=16</formula>
    </cfRule>
    <cfRule type="expression" dxfId="309" priority="78">
      <formula>$E261=15</formula>
    </cfRule>
    <cfRule type="expression" dxfId="308" priority="79">
      <formula>$E261=14</formula>
    </cfRule>
    <cfRule type="expression" dxfId="307" priority="80">
      <formula>$E261=13</formula>
    </cfRule>
    <cfRule type="expression" dxfId="306" priority="81">
      <formula>$E261=12</formula>
    </cfRule>
  </conditionalFormatting>
  <conditionalFormatting sqref="H261">
    <cfRule type="expression" dxfId="305" priority="64">
      <formula>$E261=10</formula>
    </cfRule>
    <cfRule type="expression" dxfId="304" priority="65">
      <formula>$E261=11</formula>
    </cfRule>
    <cfRule type="expression" dxfId="303" priority="66">
      <formula>$E261=18</formula>
    </cfRule>
    <cfRule type="expression" dxfId="302" priority="67">
      <formula>$E261=17</formula>
    </cfRule>
    <cfRule type="expression" dxfId="301" priority="68">
      <formula>$E261=16</formula>
    </cfRule>
    <cfRule type="expression" dxfId="300" priority="69">
      <formula>$E261=15</formula>
    </cfRule>
    <cfRule type="expression" dxfId="299" priority="70">
      <formula>$E261=14</formula>
    </cfRule>
    <cfRule type="expression" dxfId="298" priority="71">
      <formula>$E261=13</formula>
    </cfRule>
    <cfRule type="expression" dxfId="297" priority="72">
      <formula>$E261=12</formula>
    </cfRule>
  </conditionalFormatting>
  <conditionalFormatting sqref="A258:AH260 C261:F427 AK258:IW260">
    <cfRule type="expression" dxfId="296" priority="55">
      <formula>$E258=10</formula>
    </cfRule>
    <cfRule type="expression" dxfId="295" priority="56">
      <formula>$E258=11</formula>
    </cfRule>
    <cfRule type="expression" dxfId="294" priority="57">
      <formula>$E258=18</formula>
    </cfRule>
    <cfRule type="expression" dxfId="293" priority="58">
      <formula>$E258=17</formula>
    </cfRule>
    <cfRule type="expression" dxfId="292" priority="59">
      <formula>$E258=16</formula>
    </cfRule>
    <cfRule type="expression" dxfId="291" priority="60">
      <formula>$E258=15</formula>
    </cfRule>
    <cfRule type="expression" dxfId="290" priority="61">
      <formula>$E258=14</formula>
    </cfRule>
    <cfRule type="expression" dxfId="289" priority="62">
      <formula>$E258=13</formula>
    </cfRule>
    <cfRule type="expression" dxfId="288" priority="63">
      <formula>$E258=12</formula>
    </cfRule>
  </conditionalFormatting>
  <conditionalFormatting sqref="A264:B264 J264 N264:AH264 L264 H264 AK264:XFD264">
    <cfRule type="expression" dxfId="287" priority="46">
      <formula>$E264=10</formula>
    </cfRule>
    <cfRule type="expression" dxfId="286" priority="47">
      <formula>$E264=11</formula>
    </cfRule>
    <cfRule type="expression" dxfId="285" priority="48">
      <formula>$E264=18</formula>
    </cfRule>
    <cfRule type="expression" dxfId="284" priority="49">
      <formula>$E264=17</formula>
    </cfRule>
    <cfRule type="expression" dxfId="283" priority="50">
      <formula>$E264=16</formula>
    </cfRule>
    <cfRule type="expression" dxfId="282" priority="51">
      <formula>$E264=15</formula>
    </cfRule>
    <cfRule type="expression" dxfId="281" priority="52">
      <formula>$E264=14</formula>
    </cfRule>
    <cfRule type="expression" dxfId="280" priority="53">
      <formula>$E264=13</formula>
    </cfRule>
    <cfRule type="expression" dxfId="279" priority="54">
      <formula>$E264=12</formula>
    </cfRule>
  </conditionalFormatting>
  <conditionalFormatting sqref="M264">
    <cfRule type="expression" dxfId="278" priority="37">
      <formula>$E264=10</formula>
    </cfRule>
    <cfRule type="expression" dxfId="277" priority="38">
      <formula>$E264=11</formula>
    </cfRule>
    <cfRule type="expression" dxfId="276" priority="39">
      <formula>$E264=18</formula>
    </cfRule>
    <cfRule type="expression" dxfId="275" priority="40">
      <formula>$E264=17</formula>
    </cfRule>
    <cfRule type="expression" dxfId="274" priority="41">
      <formula>$E264=16</formula>
    </cfRule>
    <cfRule type="expression" dxfId="273" priority="42">
      <formula>$E264=15</formula>
    </cfRule>
    <cfRule type="expression" dxfId="272" priority="43">
      <formula>$E264=14</formula>
    </cfRule>
    <cfRule type="expression" dxfId="271" priority="44">
      <formula>$E264=13</formula>
    </cfRule>
    <cfRule type="expression" dxfId="270" priority="45">
      <formula>$E264=12</formula>
    </cfRule>
  </conditionalFormatting>
  <conditionalFormatting sqref="K264">
    <cfRule type="expression" dxfId="269" priority="28">
      <formula>$E264=10</formula>
    </cfRule>
    <cfRule type="expression" dxfId="268" priority="29">
      <formula>$E264=11</formula>
    </cfRule>
    <cfRule type="expression" dxfId="267" priority="30">
      <formula>$E264=18</formula>
    </cfRule>
    <cfRule type="expression" dxfId="266" priority="31">
      <formula>$E264=17</formula>
    </cfRule>
    <cfRule type="expression" dxfId="265" priority="32">
      <formula>$E264=16</formula>
    </cfRule>
    <cfRule type="expression" dxfId="264" priority="33">
      <formula>$E264=15</formula>
    </cfRule>
    <cfRule type="expression" dxfId="263" priority="34">
      <formula>$E264=14</formula>
    </cfRule>
    <cfRule type="expression" dxfId="262" priority="35">
      <formula>$E264=13</formula>
    </cfRule>
    <cfRule type="expression" dxfId="261" priority="36">
      <formula>$E264=12</formula>
    </cfRule>
  </conditionalFormatting>
  <conditionalFormatting sqref="G264">
    <cfRule type="expression" dxfId="260" priority="19">
      <formula>$E264=10</formula>
    </cfRule>
    <cfRule type="expression" dxfId="259" priority="20">
      <formula>$E264=11</formula>
    </cfRule>
    <cfRule type="expression" dxfId="258" priority="21">
      <formula>$E264=18</formula>
    </cfRule>
    <cfRule type="expression" dxfId="257" priority="22">
      <formula>$E264=17</formula>
    </cfRule>
    <cfRule type="expression" dxfId="256" priority="23">
      <formula>$E264=16</formula>
    </cfRule>
    <cfRule type="expression" dxfId="255" priority="24">
      <formula>$E264=15</formula>
    </cfRule>
    <cfRule type="expression" dxfId="254" priority="25">
      <formula>$E264=14</formula>
    </cfRule>
    <cfRule type="expression" dxfId="253" priority="26">
      <formula>$E264=13</formula>
    </cfRule>
    <cfRule type="expression" dxfId="252" priority="27">
      <formula>$E264=12</formula>
    </cfRule>
  </conditionalFormatting>
  <conditionalFormatting sqref="C264:F264">
    <cfRule type="expression" dxfId="251" priority="10">
      <formula>$E264=10</formula>
    </cfRule>
    <cfRule type="expression" dxfId="250" priority="11">
      <formula>$E264=11</formula>
    </cfRule>
    <cfRule type="expression" dxfId="249" priority="12">
      <formula>$E264=18</formula>
    </cfRule>
    <cfRule type="expression" dxfId="248" priority="13">
      <formula>$E264=17</formula>
    </cfRule>
    <cfRule type="expression" dxfId="247" priority="14">
      <formula>$E264=16</formula>
    </cfRule>
    <cfRule type="expression" dxfId="246" priority="15">
      <formula>$E264=15</formula>
    </cfRule>
    <cfRule type="expression" dxfId="245" priority="16">
      <formula>$E264=14</formula>
    </cfRule>
    <cfRule type="expression" dxfId="244" priority="17">
      <formula>$E264=13</formula>
    </cfRule>
    <cfRule type="expression" dxfId="243" priority="18">
      <formula>$E264=12</formula>
    </cfRule>
  </conditionalFormatting>
  <conditionalFormatting sqref="K2:K427">
    <cfRule type="expression" dxfId="242" priority="1">
      <formula>$E2=10</formula>
    </cfRule>
    <cfRule type="expression" dxfId="241" priority="2">
      <formula>$E2=11</formula>
    </cfRule>
    <cfRule type="expression" dxfId="240" priority="3">
      <formula>$E2=18</formula>
    </cfRule>
    <cfRule type="expression" dxfId="239" priority="4">
      <formula>$E2=17</formula>
    </cfRule>
    <cfRule type="expression" dxfId="238" priority="5">
      <formula>$E2=16</formula>
    </cfRule>
    <cfRule type="expression" dxfId="237" priority="6">
      <formula>$E2=15</formula>
    </cfRule>
    <cfRule type="expression" dxfId="236" priority="7">
      <formula>$E2=14</formula>
    </cfRule>
    <cfRule type="expression" dxfId="235" priority="8">
      <formula>$E2=13</formula>
    </cfRule>
    <cfRule type="expression" dxfId="234" priority="9">
      <formula>$E2=12</formula>
    </cfRule>
  </conditionalFormatting>
  <hyperlinks>
    <hyperlink ref="I152" r:id="rId1" display="https://aes1.advancedeventsystems.com/Event/Volleyball/EventTeamInfo.aspx?ZCruShzPjMGv6cuivzEZ3bdHnxan7utPe-38b2URl8mzU62jttSjG3kENzzLrFO5DJ2gC4tYCpITNOPe7kWQLp22OSbVlCGBuLUYcUJcvMs1mfXaIumiL4opmJlO0to2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J427"/>
  <sheetViews>
    <sheetView topLeftCell="C1" workbookViewId="0">
      <selection activeCell="K5" sqref="K5"/>
    </sheetView>
  </sheetViews>
  <sheetFormatPr defaultRowHeight="15"/>
  <cols>
    <col min="1" max="1" width="7.140625" style="472" bestFit="1" customWidth="1"/>
    <col min="2" max="2" width="2.42578125" style="472" hidden="1" customWidth="1"/>
    <col min="3" max="3" width="3" style="472" bestFit="1" customWidth="1"/>
    <col min="4" max="4" width="5.28515625" style="472" bestFit="1" customWidth="1"/>
    <col min="5" max="5" width="4.42578125" style="472" bestFit="1" customWidth="1"/>
    <col min="6" max="6" width="7.140625" style="472" bestFit="1" customWidth="1"/>
    <col min="7" max="7" width="13.85546875" style="472" bestFit="1" customWidth="1"/>
    <col min="8" max="8" width="36.85546875" style="472" bestFit="1" customWidth="1"/>
    <col min="9" max="9" width="28.42578125" style="472" bestFit="1" customWidth="1"/>
    <col min="10" max="10" width="5.7109375" style="472" bestFit="1" customWidth="1"/>
    <col min="11" max="11" width="13.85546875" style="473" bestFit="1" customWidth="1"/>
    <col min="12" max="12" width="5" style="472" customWidth="1"/>
    <col min="13" max="13" width="10" style="473" bestFit="1" customWidth="1"/>
    <col min="14" max="14" width="12" style="472" bestFit="1" customWidth="1"/>
    <col min="15" max="15" width="6.7109375" style="472" bestFit="1" customWidth="1"/>
    <col min="16" max="16" width="6.7109375" style="472" customWidth="1"/>
    <col min="17" max="19" width="7.7109375" style="472" bestFit="1" customWidth="1"/>
    <col min="20" max="20" width="6.7109375" style="472" bestFit="1" customWidth="1"/>
    <col min="21" max="23" width="7.7109375" style="472" bestFit="1" customWidth="1"/>
    <col min="24" max="24" width="6.7109375" style="472" bestFit="1" customWidth="1"/>
    <col min="25" max="27" width="7.7109375" style="472" bestFit="1" customWidth="1"/>
    <col min="28" max="28" width="6.7109375" style="472" bestFit="1" customWidth="1"/>
    <col min="29" max="34" width="9.140625" style="472"/>
    <col min="35" max="36" width="12" style="475" bestFit="1" customWidth="1"/>
    <col min="37" max="16384" width="9.140625" style="472"/>
  </cols>
  <sheetData>
    <row r="1" spans="1:28" ht="26.25">
      <c r="A1" s="471" t="s">
        <v>308</v>
      </c>
      <c r="C1" s="472" t="s">
        <v>309</v>
      </c>
      <c r="D1" s="472" t="s">
        <v>310</v>
      </c>
      <c r="E1" s="472" t="s">
        <v>9</v>
      </c>
      <c r="F1" s="472" t="s">
        <v>311</v>
      </c>
      <c r="G1" s="472" t="s">
        <v>312</v>
      </c>
      <c r="H1" s="472" t="s">
        <v>313</v>
      </c>
      <c r="I1" s="472" t="s">
        <v>5</v>
      </c>
      <c r="J1" s="472" t="s">
        <v>314</v>
      </c>
      <c r="K1" s="473" t="s">
        <v>315</v>
      </c>
      <c r="M1" s="473" t="s">
        <v>225</v>
      </c>
      <c r="N1" s="474" t="s">
        <v>316</v>
      </c>
      <c r="O1" s="474" t="s">
        <v>317</v>
      </c>
      <c r="P1" s="474" t="s">
        <v>317</v>
      </c>
      <c r="Q1" s="474" t="s">
        <v>318</v>
      </c>
      <c r="R1" s="474" t="s">
        <v>319</v>
      </c>
      <c r="S1" s="474" t="s">
        <v>320</v>
      </c>
      <c r="T1" s="474" t="s">
        <v>321</v>
      </c>
      <c r="U1" s="474" t="s">
        <v>322</v>
      </c>
      <c r="V1" s="474" t="s">
        <v>323</v>
      </c>
      <c r="W1" s="474" t="s">
        <v>324</v>
      </c>
      <c r="X1" s="474" t="s">
        <v>325</v>
      </c>
      <c r="Y1" s="474" t="s">
        <v>326</v>
      </c>
      <c r="Z1" s="474" t="s">
        <v>327</v>
      </c>
      <c r="AA1" s="474" t="s">
        <v>328</v>
      </c>
      <c r="AB1" s="474" t="s">
        <v>329</v>
      </c>
    </row>
    <row r="2" spans="1:28">
      <c r="A2" s="472">
        <v>3</v>
      </c>
      <c r="C2" s="472">
        <f t="shared" ref="C2:C65" si="0">IF(E2=E1,C1+1,1)</f>
        <v>1</v>
      </c>
      <c r="D2" s="472">
        <f t="shared" ref="D2:D65" si="1">IF(K2=K1,D1,C2)</f>
        <v>1</v>
      </c>
      <c r="E2" s="472">
        <f t="shared" ref="E2:E65" si="2">10+VALUE(RIGHT(LEFT(G2,3),1))</f>
        <v>11</v>
      </c>
      <c r="F2" s="472" t="str">
        <f>RIGHT(G2,2) &amp; IF(A2&lt;2,"x","")</f>
        <v>pm</v>
      </c>
      <c r="G2" s="472" t="s">
        <v>330</v>
      </c>
      <c r="H2" s="472" t="s">
        <v>331</v>
      </c>
      <c r="I2" s="472" t="s">
        <v>332</v>
      </c>
      <c r="K2" s="473">
        <f t="shared" ref="K2:K65" si="3">LOOKUP(1E+100,M2:AC2)</f>
        <v>1400</v>
      </c>
      <c r="M2" s="473">
        <v>1400</v>
      </c>
    </row>
    <row r="3" spans="1:28">
      <c r="A3" s="472">
        <v>1</v>
      </c>
      <c r="C3" s="472">
        <f t="shared" si="0"/>
        <v>2</v>
      </c>
      <c r="D3" s="472">
        <f t="shared" si="1"/>
        <v>2</v>
      </c>
      <c r="E3" s="472">
        <f t="shared" si="2"/>
        <v>11</v>
      </c>
      <c r="F3" s="472" t="str">
        <f t="shared" ref="F3:F66" si="4">RIGHT(G3,2) &amp; IF(A3&lt;2,"x","")</f>
        <v>pmx</v>
      </c>
      <c r="G3" s="472" t="s">
        <v>333</v>
      </c>
      <c r="H3" s="472" t="s">
        <v>334</v>
      </c>
      <c r="I3" s="472" t="s">
        <v>335</v>
      </c>
      <c r="K3" s="473">
        <f t="shared" si="3"/>
        <v>1437.1071378621887</v>
      </c>
      <c r="M3" s="473">
        <v>1400</v>
      </c>
      <c r="O3" s="472">
        <v>1437.1071378621887</v>
      </c>
    </row>
    <row r="4" spans="1:28">
      <c r="A4" s="472">
        <v>4</v>
      </c>
      <c r="C4" s="472">
        <f t="shared" si="0"/>
        <v>3</v>
      </c>
      <c r="D4" s="472">
        <f t="shared" si="1"/>
        <v>3</v>
      </c>
      <c r="E4" s="472">
        <f t="shared" si="2"/>
        <v>11</v>
      </c>
      <c r="F4" s="472" t="str">
        <f t="shared" si="4"/>
        <v>pm</v>
      </c>
      <c r="G4" s="472" t="s">
        <v>336</v>
      </c>
      <c r="H4" s="472" t="s">
        <v>337</v>
      </c>
      <c r="I4" s="472" t="s">
        <v>338</v>
      </c>
      <c r="K4" s="473">
        <f t="shared" si="3"/>
        <v>1232.8966626415247</v>
      </c>
      <c r="M4" s="473">
        <v>1300</v>
      </c>
      <c r="O4" s="472">
        <v>1232.8966626415247</v>
      </c>
    </row>
    <row r="5" spans="1:28">
      <c r="A5" s="472">
        <v>3</v>
      </c>
      <c r="C5" s="472">
        <f t="shared" si="0"/>
        <v>4</v>
      </c>
      <c r="D5" s="472">
        <f t="shared" si="1"/>
        <v>4</v>
      </c>
      <c r="E5" s="472">
        <f t="shared" si="2"/>
        <v>11</v>
      </c>
      <c r="F5" s="472" t="str">
        <f t="shared" si="4"/>
        <v>pm</v>
      </c>
      <c r="G5" s="472" t="s">
        <v>171</v>
      </c>
      <c r="H5" s="472" t="s">
        <v>154</v>
      </c>
      <c r="I5" s="472" t="s">
        <v>170</v>
      </c>
      <c r="K5" s="473">
        <f t="shared" si="3"/>
        <v>1237.0786754291955</v>
      </c>
      <c r="M5" s="473">
        <v>1266.6666666666667</v>
      </c>
      <c r="P5" s="472">
        <v>1237.0786754291955</v>
      </c>
    </row>
    <row r="6" spans="1:28">
      <c r="A6" s="472">
        <v>1</v>
      </c>
      <c r="C6" s="472">
        <f t="shared" si="0"/>
        <v>5</v>
      </c>
      <c r="D6" s="472">
        <f t="shared" si="1"/>
        <v>5</v>
      </c>
      <c r="E6" s="472">
        <f t="shared" si="2"/>
        <v>11</v>
      </c>
      <c r="F6" s="472" t="str">
        <f t="shared" si="4"/>
        <v>crx</v>
      </c>
      <c r="G6" s="472" t="s">
        <v>339</v>
      </c>
      <c r="H6" s="472" t="s">
        <v>340</v>
      </c>
      <c r="I6" s="472" t="s">
        <v>341</v>
      </c>
      <c r="K6" s="473">
        <f t="shared" si="3"/>
        <v>1200</v>
      </c>
      <c r="M6" s="473">
        <v>1200</v>
      </c>
    </row>
    <row r="7" spans="1:28">
      <c r="A7" s="472">
        <v>4</v>
      </c>
      <c r="C7" s="472">
        <f t="shared" si="0"/>
        <v>6</v>
      </c>
      <c r="D7" s="472">
        <f t="shared" si="1"/>
        <v>6</v>
      </c>
      <c r="E7" s="472">
        <f t="shared" si="2"/>
        <v>11</v>
      </c>
      <c r="F7" s="472" t="str">
        <f t="shared" si="4"/>
        <v>pm</v>
      </c>
      <c r="G7" s="472" t="s">
        <v>174</v>
      </c>
      <c r="H7" s="472" t="s">
        <v>86</v>
      </c>
      <c r="I7" s="472" t="s">
        <v>173</v>
      </c>
      <c r="K7" s="473">
        <f t="shared" si="3"/>
        <v>1202.6504789498138</v>
      </c>
      <c r="M7" s="473">
        <v>1200</v>
      </c>
      <c r="P7" s="472">
        <v>1202.6504789498138</v>
      </c>
    </row>
    <row r="8" spans="1:28">
      <c r="A8" s="472">
        <v>4</v>
      </c>
      <c r="C8" s="472">
        <f t="shared" si="0"/>
        <v>7</v>
      </c>
      <c r="D8" s="472">
        <f t="shared" si="1"/>
        <v>7</v>
      </c>
      <c r="E8" s="472">
        <f t="shared" si="2"/>
        <v>11</v>
      </c>
      <c r="F8" s="472" t="str">
        <f t="shared" si="4"/>
        <v>pm</v>
      </c>
      <c r="G8" s="472" t="s">
        <v>95</v>
      </c>
      <c r="H8" s="472" t="s">
        <v>86</v>
      </c>
      <c r="I8" s="472" t="s">
        <v>88</v>
      </c>
      <c r="K8" s="473">
        <f t="shared" si="3"/>
        <v>1267.295655925891</v>
      </c>
      <c r="M8" s="473">
        <v>1200</v>
      </c>
      <c r="P8" s="472">
        <v>1267.295655925891</v>
      </c>
    </row>
    <row r="9" spans="1:28">
      <c r="A9" s="472">
        <v>4</v>
      </c>
      <c r="C9" s="472">
        <f t="shared" si="0"/>
        <v>8</v>
      </c>
      <c r="D9" s="472">
        <f t="shared" si="1"/>
        <v>8</v>
      </c>
      <c r="E9" s="472">
        <f t="shared" si="2"/>
        <v>11</v>
      </c>
      <c r="F9" s="472" t="str">
        <f t="shared" si="4"/>
        <v>pm</v>
      </c>
      <c r="G9" s="472" t="s">
        <v>94</v>
      </c>
      <c r="H9" s="472" t="s">
        <v>86</v>
      </c>
      <c r="I9" s="472" t="s">
        <v>131</v>
      </c>
      <c r="K9" s="473">
        <f t="shared" si="3"/>
        <v>1207.4161667092396</v>
      </c>
      <c r="M9" s="473">
        <v>1200</v>
      </c>
      <c r="P9" s="472">
        <v>1207.4161667092396</v>
      </c>
    </row>
    <row r="10" spans="1:28">
      <c r="A10" s="472">
        <v>0</v>
      </c>
      <c r="C10" s="472">
        <f t="shared" si="0"/>
        <v>1</v>
      </c>
      <c r="D10" s="472">
        <f t="shared" si="1"/>
        <v>1</v>
      </c>
      <c r="E10" s="472">
        <f t="shared" si="2"/>
        <v>12</v>
      </c>
      <c r="F10" s="472" t="str">
        <f t="shared" si="4"/>
        <v>pmx</v>
      </c>
      <c r="G10" s="472" t="s">
        <v>342</v>
      </c>
      <c r="H10" s="472" t="s">
        <v>343</v>
      </c>
      <c r="I10" s="472" t="s">
        <v>344</v>
      </c>
      <c r="K10" s="473">
        <f t="shared" si="3"/>
        <v>1593.6286906433302</v>
      </c>
      <c r="M10" s="473">
        <v>1600</v>
      </c>
      <c r="O10" s="472">
        <v>1593.6286906433302</v>
      </c>
    </row>
    <row r="11" spans="1:28">
      <c r="A11" s="472">
        <v>1</v>
      </c>
      <c r="C11" s="472">
        <f t="shared" si="0"/>
        <v>2</v>
      </c>
      <c r="D11" s="472">
        <f t="shared" si="1"/>
        <v>2</v>
      </c>
      <c r="E11" s="472">
        <f t="shared" si="2"/>
        <v>12</v>
      </c>
      <c r="F11" s="472" t="str">
        <f t="shared" si="4"/>
        <v>pmx</v>
      </c>
      <c r="G11" s="472" t="s">
        <v>345</v>
      </c>
      <c r="H11" s="472" t="s">
        <v>346</v>
      </c>
      <c r="I11" s="472" t="s">
        <v>347</v>
      </c>
      <c r="K11" s="473">
        <f t="shared" si="3"/>
        <v>2000</v>
      </c>
      <c r="M11" s="473">
        <v>2000</v>
      </c>
    </row>
    <row r="12" spans="1:28">
      <c r="A12" s="472">
        <v>1</v>
      </c>
      <c r="C12" s="472">
        <f t="shared" si="0"/>
        <v>3</v>
      </c>
      <c r="D12" s="472">
        <f t="shared" si="1"/>
        <v>3</v>
      </c>
      <c r="E12" s="472">
        <f t="shared" si="2"/>
        <v>12</v>
      </c>
      <c r="F12" s="472" t="str">
        <f t="shared" si="4"/>
        <v>pmx</v>
      </c>
      <c r="G12" s="472" t="s">
        <v>348</v>
      </c>
      <c r="H12" s="472" t="s">
        <v>334</v>
      </c>
      <c r="I12" s="472" t="s">
        <v>349</v>
      </c>
      <c r="K12" s="473">
        <f t="shared" si="3"/>
        <v>1784.2249735467867</v>
      </c>
      <c r="M12" s="473">
        <v>1800</v>
      </c>
      <c r="O12" s="472">
        <v>1784.2249735467867</v>
      </c>
    </row>
    <row r="13" spans="1:28">
      <c r="A13" s="472">
        <v>1</v>
      </c>
      <c r="C13" s="472">
        <f t="shared" si="0"/>
        <v>4</v>
      </c>
      <c r="D13" s="472">
        <f t="shared" si="1"/>
        <v>4</v>
      </c>
      <c r="E13" s="472">
        <f t="shared" si="2"/>
        <v>12</v>
      </c>
      <c r="F13" s="472" t="str">
        <f t="shared" si="4"/>
        <v>sox</v>
      </c>
      <c r="G13" s="472" t="s">
        <v>350</v>
      </c>
      <c r="H13" s="472" t="s">
        <v>351</v>
      </c>
      <c r="I13" s="472" t="s">
        <v>352</v>
      </c>
      <c r="K13" s="473">
        <f t="shared" si="3"/>
        <v>1600</v>
      </c>
      <c r="M13" s="473">
        <v>1600</v>
      </c>
    </row>
    <row r="14" spans="1:28">
      <c r="A14" s="472">
        <v>1</v>
      </c>
      <c r="C14" s="472">
        <f t="shared" si="0"/>
        <v>5</v>
      </c>
      <c r="D14" s="472">
        <f t="shared" si="1"/>
        <v>5</v>
      </c>
      <c r="E14" s="472">
        <f t="shared" si="2"/>
        <v>12</v>
      </c>
      <c r="F14" s="472" t="str">
        <f t="shared" si="4"/>
        <v>pmx</v>
      </c>
      <c r="G14" s="472" t="s">
        <v>353</v>
      </c>
      <c r="H14" s="472" t="s">
        <v>343</v>
      </c>
      <c r="I14" s="472" t="s">
        <v>354</v>
      </c>
      <c r="K14" s="473">
        <f t="shared" si="3"/>
        <v>1614.2711162149969</v>
      </c>
      <c r="M14" s="473">
        <v>1600</v>
      </c>
      <c r="O14" s="472">
        <v>1614.2711162149969</v>
      </c>
    </row>
    <row r="15" spans="1:28">
      <c r="A15" s="472">
        <v>3</v>
      </c>
      <c r="C15" s="472">
        <f t="shared" si="0"/>
        <v>6</v>
      </c>
      <c r="D15" s="472">
        <f t="shared" si="1"/>
        <v>6</v>
      </c>
      <c r="E15" s="472">
        <f t="shared" si="2"/>
        <v>12</v>
      </c>
      <c r="F15" s="472" t="str">
        <f t="shared" si="4"/>
        <v>pm</v>
      </c>
      <c r="G15" s="472" t="s">
        <v>355</v>
      </c>
      <c r="H15" s="472" t="s">
        <v>331</v>
      </c>
      <c r="I15" s="472" t="s">
        <v>356</v>
      </c>
      <c r="K15" s="473">
        <f t="shared" si="3"/>
        <v>1600</v>
      </c>
      <c r="M15" s="473">
        <v>1600</v>
      </c>
    </row>
    <row r="16" spans="1:28">
      <c r="A16" s="472">
        <v>4</v>
      </c>
      <c r="C16" s="472">
        <f t="shared" si="0"/>
        <v>7</v>
      </c>
      <c r="D16" s="472">
        <f t="shared" si="1"/>
        <v>6</v>
      </c>
      <c r="E16" s="472">
        <f t="shared" si="2"/>
        <v>12</v>
      </c>
      <c r="F16" s="472" t="str">
        <f t="shared" si="4"/>
        <v>pm</v>
      </c>
      <c r="G16" s="472" t="s">
        <v>357</v>
      </c>
      <c r="H16" s="472" t="s">
        <v>92</v>
      </c>
      <c r="I16" s="472" t="s">
        <v>358</v>
      </c>
      <c r="K16" s="473">
        <f t="shared" si="3"/>
        <v>1600</v>
      </c>
      <c r="M16" s="473">
        <v>1600</v>
      </c>
    </row>
    <row r="17" spans="1:16">
      <c r="A17" s="472">
        <v>1</v>
      </c>
      <c r="C17" s="472">
        <f t="shared" si="0"/>
        <v>8</v>
      </c>
      <c r="D17" s="472">
        <f t="shared" si="1"/>
        <v>8</v>
      </c>
      <c r="E17" s="472">
        <f t="shared" si="2"/>
        <v>12</v>
      </c>
      <c r="F17" s="472" t="str">
        <f t="shared" si="4"/>
        <v>pmx</v>
      </c>
      <c r="G17" s="472" t="s">
        <v>359</v>
      </c>
      <c r="H17" s="472" t="s">
        <v>334</v>
      </c>
      <c r="I17" s="472" t="s">
        <v>360</v>
      </c>
      <c r="K17" s="473">
        <f t="shared" si="3"/>
        <v>1637.1751345319028</v>
      </c>
      <c r="M17" s="473">
        <v>1600</v>
      </c>
      <c r="O17" s="472">
        <v>1637.1751345319028</v>
      </c>
    </row>
    <row r="18" spans="1:16">
      <c r="A18" s="472">
        <v>4</v>
      </c>
      <c r="C18" s="472">
        <f t="shared" si="0"/>
        <v>9</v>
      </c>
      <c r="D18" s="472">
        <f t="shared" si="1"/>
        <v>9</v>
      </c>
      <c r="E18" s="472">
        <f t="shared" si="2"/>
        <v>12</v>
      </c>
      <c r="F18" s="472" t="str">
        <f t="shared" si="4"/>
        <v>pm</v>
      </c>
      <c r="G18" s="472" t="s">
        <v>153</v>
      </c>
      <c r="H18" s="472" t="s">
        <v>154</v>
      </c>
      <c r="I18" s="472" t="s">
        <v>152</v>
      </c>
      <c r="K18" s="473">
        <f t="shared" si="3"/>
        <v>1557.5535974664533</v>
      </c>
      <c r="M18" s="473">
        <v>1500</v>
      </c>
      <c r="P18" s="472">
        <v>1557.5535974664533</v>
      </c>
    </row>
    <row r="19" spans="1:16">
      <c r="A19" s="472">
        <v>5</v>
      </c>
      <c r="C19" s="472">
        <f t="shared" si="0"/>
        <v>10</v>
      </c>
      <c r="D19" s="472">
        <f t="shared" si="1"/>
        <v>10</v>
      </c>
      <c r="E19" s="472">
        <f t="shared" si="2"/>
        <v>12</v>
      </c>
      <c r="F19" s="472" t="str">
        <f t="shared" si="4"/>
        <v>pm</v>
      </c>
      <c r="G19" s="472" t="s">
        <v>361</v>
      </c>
      <c r="H19" s="472" t="s">
        <v>123</v>
      </c>
      <c r="I19" s="472" t="s">
        <v>362</v>
      </c>
      <c r="K19" s="473">
        <f t="shared" si="3"/>
        <v>1371.8915715290443</v>
      </c>
      <c r="M19" s="473">
        <v>1400</v>
      </c>
      <c r="O19" s="472">
        <v>1371.8915715290443</v>
      </c>
    </row>
    <row r="20" spans="1:16">
      <c r="A20" s="472">
        <v>2</v>
      </c>
      <c r="C20" s="472">
        <f t="shared" si="0"/>
        <v>11</v>
      </c>
      <c r="D20" s="472">
        <f t="shared" si="1"/>
        <v>11</v>
      </c>
      <c r="E20" s="472">
        <f t="shared" si="2"/>
        <v>12</v>
      </c>
      <c r="F20" s="472" t="str">
        <f t="shared" si="4"/>
        <v>cr</v>
      </c>
      <c r="G20" s="472" t="s">
        <v>363</v>
      </c>
      <c r="H20" s="472" t="s">
        <v>340</v>
      </c>
      <c r="I20" s="472" t="s">
        <v>364</v>
      </c>
      <c r="K20" s="473">
        <f t="shared" si="3"/>
        <v>1400</v>
      </c>
      <c r="M20" s="473">
        <v>1400</v>
      </c>
    </row>
    <row r="21" spans="1:16">
      <c r="A21" s="472">
        <v>1</v>
      </c>
      <c r="C21" s="472">
        <f t="shared" si="0"/>
        <v>12</v>
      </c>
      <c r="D21" s="472">
        <f t="shared" si="1"/>
        <v>12</v>
      </c>
      <c r="E21" s="472">
        <f t="shared" si="2"/>
        <v>12</v>
      </c>
      <c r="F21" s="472" t="str">
        <f t="shared" si="4"/>
        <v>pmx</v>
      </c>
      <c r="G21" s="472" t="s">
        <v>365</v>
      </c>
      <c r="H21" s="472" t="s">
        <v>343</v>
      </c>
      <c r="I21" s="472" t="s">
        <v>366</v>
      </c>
      <c r="K21" s="473">
        <f t="shared" si="3"/>
        <v>1382.8503500873553</v>
      </c>
      <c r="M21" s="473">
        <v>1400</v>
      </c>
      <c r="O21" s="472">
        <v>1382.8503500873553</v>
      </c>
    </row>
    <row r="22" spans="1:16">
      <c r="A22" s="472">
        <v>1</v>
      </c>
      <c r="C22" s="472">
        <f t="shared" si="0"/>
        <v>13</v>
      </c>
      <c r="D22" s="472">
        <f t="shared" si="1"/>
        <v>13</v>
      </c>
      <c r="E22" s="472">
        <f t="shared" si="2"/>
        <v>12</v>
      </c>
      <c r="F22" s="472" t="str">
        <f t="shared" si="4"/>
        <v>pmx</v>
      </c>
      <c r="G22" s="472" t="s">
        <v>367</v>
      </c>
      <c r="H22" s="472" t="s">
        <v>343</v>
      </c>
      <c r="I22" s="472" t="s">
        <v>368</v>
      </c>
      <c r="K22" s="473">
        <f t="shared" si="3"/>
        <v>1364.2754012513724</v>
      </c>
      <c r="M22" s="473">
        <v>1400</v>
      </c>
      <c r="O22" s="472">
        <v>1364.2754012513724</v>
      </c>
    </row>
    <row r="23" spans="1:16">
      <c r="A23" s="472">
        <v>4</v>
      </c>
      <c r="C23" s="472">
        <f t="shared" si="0"/>
        <v>14</v>
      </c>
      <c r="D23" s="472">
        <f t="shared" si="1"/>
        <v>14</v>
      </c>
      <c r="E23" s="472">
        <f t="shared" si="2"/>
        <v>12</v>
      </c>
      <c r="F23" s="472" t="str">
        <f t="shared" si="4"/>
        <v>pm</v>
      </c>
      <c r="G23" s="472" t="s">
        <v>369</v>
      </c>
      <c r="H23" s="472" t="s">
        <v>370</v>
      </c>
      <c r="I23" s="472" t="s">
        <v>371</v>
      </c>
      <c r="K23" s="473">
        <f t="shared" si="3"/>
        <v>1427.73073891227</v>
      </c>
      <c r="M23" s="473">
        <v>1400</v>
      </c>
      <c r="O23" s="472">
        <v>1427.73073891227</v>
      </c>
    </row>
    <row r="24" spans="1:16">
      <c r="A24" s="472">
        <v>3</v>
      </c>
      <c r="C24" s="472">
        <f t="shared" si="0"/>
        <v>15</v>
      </c>
      <c r="D24" s="472">
        <f t="shared" si="1"/>
        <v>15</v>
      </c>
      <c r="E24" s="472">
        <f t="shared" si="2"/>
        <v>12</v>
      </c>
      <c r="F24" s="472" t="str">
        <f t="shared" si="4"/>
        <v>pm</v>
      </c>
      <c r="G24" s="472" t="s">
        <v>372</v>
      </c>
      <c r="H24" s="472" t="s">
        <v>331</v>
      </c>
      <c r="I24" s="472" t="s">
        <v>373</v>
      </c>
      <c r="K24" s="473">
        <f t="shared" si="3"/>
        <v>1483.5590753889226</v>
      </c>
      <c r="M24" s="473">
        <v>1400</v>
      </c>
      <c r="O24" s="472">
        <v>1483.5590753889226</v>
      </c>
    </row>
    <row r="25" spans="1:16">
      <c r="A25" s="472">
        <v>3</v>
      </c>
      <c r="C25" s="472">
        <f t="shared" si="0"/>
        <v>16</v>
      </c>
      <c r="D25" s="472">
        <f t="shared" si="1"/>
        <v>16</v>
      </c>
      <c r="E25" s="472">
        <f t="shared" si="2"/>
        <v>12</v>
      </c>
      <c r="F25" s="472" t="str">
        <f t="shared" si="4"/>
        <v>pm</v>
      </c>
      <c r="G25" s="472" t="s">
        <v>374</v>
      </c>
      <c r="H25" s="472" t="s">
        <v>331</v>
      </c>
      <c r="I25" s="472" t="s">
        <v>375</v>
      </c>
      <c r="K25" s="473">
        <f t="shared" si="3"/>
        <v>1510.1815945823957</v>
      </c>
      <c r="M25" s="473">
        <v>1400</v>
      </c>
      <c r="O25" s="472">
        <v>1510.1815945823957</v>
      </c>
    </row>
    <row r="26" spans="1:16">
      <c r="A26" s="472">
        <v>3</v>
      </c>
      <c r="C26" s="472">
        <f t="shared" si="0"/>
        <v>17</v>
      </c>
      <c r="D26" s="472">
        <f t="shared" si="1"/>
        <v>17</v>
      </c>
      <c r="E26" s="472">
        <f t="shared" si="2"/>
        <v>12</v>
      </c>
      <c r="F26" s="472" t="str">
        <f t="shared" si="4"/>
        <v>pm</v>
      </c>
      <c r="G26" s="472" t="s">
        <v>376</v>
      </c>
      <c r="H26" s="472" t="s">
        <v>331</v>
      </c>
      <c r="I26" s="472" t="s">
        <v>377</v>
      </c>
      <c r="K26" s="473">
        <f t="shared" si="3"/>
        <v>1470.9901180578565</v>
      </c>
      <c r="M26" s="473">
        <v>1400</v>
      </c>
      <c r="O26" s="472">
        <v>1470.9901180578565</v>
      </c>
    </row>
    <row r="27" spans="1:16">
      <c r="A27" s="472">
        <v>3</v>
      </c>
      <c r="C27" s="472">
        <f t="shared" si="0"/>
        <v>18</v>
      </c>
      <c r="D27" s="472">
        <f t="shared" si="1"/>
        <v>18</v>
      </c>
      <c r="E27" s="472">
        <f t="shared" si="2"/>
        <v>12</v>
      </c>
      <c r="F27" s="472" t="str">
        <f t="shared" si="4"/>
        <v>pm</v>
      </c>
      <c r="G27" s="472" t="s">
        <v>378</v>
      </c>
      <c r="H27" s="472" t="s">
        <v>331</v>
      </c>
      <c r="I27" s="472" t="s">
        <v>379</v>
      </c>
      <c r="K27" s="473">
        <f t="shared" si="3"/>
        <v>1400</v>
      </c>
      <c r="M27" s="473">
        <v>1400</v>
      </c>
    </row>
    <row r="28" spans="1:16">
      <c r="A28" s="472">
        <v>3</v>
      </c>
      <c r="C28" s="472">
        <f t="shared" si="0"/>
        <v>19</v>
      </c>
      <c r="D28" s="472">
        <f t="shared" si="1"/>
        <v>18</v>
      </c>
      <c r="E28" s="472">
        <f t="shared" si="2"/>
        <v>12</v>
      </c>
      <c r="F28" s="472" t="str">
        <f t="shared" si="4"/>
        <v>pm</v>
      </c>
      <c r="G28" s="472" t="s">
        <v>380</v>
      </c>
      <c r="H28" s="472" t="s">
        <v>331</v>
      </c>
      <c r="I28" s="472" t="s">
        <v>381</v>
      </c>
      <c r="K28" s="473">
        <f t="shared" si="3"/>
        <v>1400</v>
      </c>
      <c r="M28" s="473">
        <v>1400</v>
      </c>
    </row>
    <row r="29" spans="1:16">
      <c r="A29" s="472">
        <v>4</v>
      </c>
      <c r="C29" s="472">
        <f t="shared" si="0"/>
        <v>20</v>
      </c>
      <c r="D29" s="472">
        <f t="shared" si="1"/>
        <v>18</v>
      </c>
      <c r="E29" s="472">
        <f t="shared" si="2"/>
        <v>12</v>
      </c>
      <c r="F29" s="472" t="str">
        <f t="shared" si="4"/>
        <v>pm</v>
      </c>
      <c r="G29" s="472" t="s">
        <v>382</v>
      </c>
      <c r="H29" s="472" t="s">
        <v>383</v>
      </c>
      <c r="I29" s="472" t="s">
        <v>384</v>
      </c>
      <c r="K29" s="473">
        <f t="shared" si="3"/>
        <v>1400</v>
      </c>
      <c r="M29" s="473">
        <v>1400</v>
      </c>
    </row>
    <row r="30" spans="1:16">
      <c r="A30" s="472">
        <v>5</v>
      </c>
      <c r="C30" s="472">
        <f t="shared" si="0"/>
        <v>21</v>
      </c>
      <c r="D30" s="472">
        <f t="shared" si="1"/>
        <v>18</v>
      </c>
      <c r="E30" s="472">
        <f t="shared" si="2"/>
        <v>12</v>
      </c>
      <c r="F30" s="472" t="str">
        <f t="shared" si="4"/>
        <v>pm</v>
      </c>
      <c r="G30" s="472" t="s">
        <v>385</v>
      </c>
      <c r="H30" s="472" t="s">
        <v>386</v>
      </c>
      <c r="I30" s="472" t="s">
        <v>387</v>
      </c>
      <c r="K30" s="473">
        <f t="shared" si="3"/>
        <v>1400</v>
      </c>
      <c r="M30" s="473">
        <v>1400</v>
      </c>
    </row>
    <row r="31" spans="1:16">
      <c r="A31" s="472">
        <v>4</v>
      </c>
      <c r="C31" s="472">
        <f t="shared" si="0"/>
        <v>22</v>
      </c>
      <c r="D31" s="472">
        <f t="shared" si="1"/>
        <v>18</v>
      </c>
      <c r="E31" s="472">
        <f t="shared" si="2"/>
        <v>12</v>
      </c>
      <c r="F31" s="472" t="str">
        <f t="shared" si="4"/>
        <v>pm</v>
      </c>
      <c r="G31" s="472" t="s">
        <v>388</v>
      </c>
      <c r="H31" s="472" t="s">
        <v>301</v>
      </c>
      <c r="I31" s="472" t="s">
        <v>389</v>
      </c>
      <c r="K31" s="473">
        <f t="shared" si="3"/>
        <v>1400</v>
      </c>
      <c r="M31" s="473">
        <v>1400</v>
      </c>
    </row>
    <row r="32" spans="1:16">
      <c r="A32" s="472">
        <v>2</v>
      </c>
      <c r="C32" s="472">
        <f t="shared" si="0"/>
        <v>23</v>
      </c>
      <c r="D32" s="472">
        <f t="shared" si="1"/>
        <v>18</v>
      </c>
      <c r="E32" s="472">
        <f t="shared" si="2"/>
        <v>12</v>
      </c>
      <c r="F32" s="472" t="str">
        <f t="shared" si="4"/>
        <v>pm</v>
      </c>
      <c r="G32" s="472" t="s">
        <v>390</v>
      </c>
      <c r="H32" s="472" t="s">
        <v>391</v>
      </c>
      <c r="I32" s="472" t="s">
        <v>392</v>
      </c>
      <c r="K32" s="473">
        <f t="shared" si="3"/>
        <v>1400</v>
      </c>
      <c r="M32" s="473">
        <v>1400</v>
      </c>
    </row>
    <row r="33" spans="1:16">
      <c r="A33" s="472">
        <v>6</v>
      </c>
      <c r="C33" s="472">
        <f t="shared" si="0"/>
        <v>24</v>
      </c>
      <c r="D33" s="472">
        <f t="shared" si="1"/>
        <v>24</v>
      </c>
      <c r="E33" s="472">
        <f t="shared" si="2"/>
        <v>12</v>
      </c>
      <c r="F33" s="472" t="str">
        <f t="shared" si="4"/>
        <v>pm</v>
      </c>
      <c r="G33" s="472" t="s">
        <v>393</v>
      </c>
      <c r="H33" s="472" t="s">
        <v>394</v>
      </c>
      <c r="I33" s="472" t="s">
        <v>395</v>
      </c>
      <c r="K33" s="473">
        <f t="shared" si="3"/>
        <v>1302.9386629423161</v>
      </c>
      <c r="M33" s="473">
        <v>1400</v>
      </c>
      <c r="O33" s="472">
        <v>1302.9386629423161</v>
      </c>
    </row>
    <row r="34" spans="1:16">
      <c r="A34" s="472">
        <v>4</v>
      </c>
      <c r="C34" s="472">
        <f t="shared" si="0"/>
        <v>25</v>
      </c>
      <c r="D34" s="472">
        <f t="shared" si="1"/>
        <v>25</v>
      </c>
      <c r="E34" s="472">
        <f t="shared" si="2"/>
        <v>12</v>
      </c>
      <c r="F34" s="472" t="str">
        <f t="shared" si="4"/>
        <v>pm</v>
      </c>
      <c r="G34" s="472" t="s">
        <v>396</v>
      </c>
      <c r="H34" s="472" t="s">
        <v>397</v>
      </c>
      <c r="I34" s="472" t="s">
        <v>398</v>
      </c>
      <c r="K34" s="473">
        <f t="shared" si="3"/>
        <v>1400</v>
      </c>
      <c r="M34" s="473">
        <v>1400</v>
      </c>
    </row>
    <row r="35" spans="1:16">
      <c r="A35" s="472">
        <v>3</v>
      </c>
      <c r="C35" s="472">
        <f t="shared" si="0"/>
        <v>26</v>
      </c>
      <c r="D35" s="472">
        <f t="shared" si="1"/>
        <v>25</v>
      </c>
      <c r="E35" s="472">
        <f t="shared" si="2"/>
        <v>12</v>
      </c>
      <c r="F35" s="472" t="str">
        <f t="shared" si="4"/>
        <v>pm</v>
      </c>
      <c r="G35" s="472" t="s">
        <v>399</v>
      </c>
      <c r="H35" s="472" t="s">
        <v>397</v>
      </c>
      <c r="I35" s="472" t="s">
        <v>400</v>
      </c>
      <c r="K35" s="473">
        <f t="shared" si="3"/>
        <v>1400</v>
      </c>
      <c r="M35" s="473">
        <v>1400</v>
      </c>
    </row>
    <row r="36" spans="1:16">
      <c r="A36" s="472">
        <v>4</v>
      </c>
      <c r="C36" s="472">
        <f t="shared" si="0"/>
        <v>27</v>
      </c>
      <c r="D36" s="472">
        <f t="shared" si="1"/>
        <v>25</v>
      </c>
      <c r="E36" s="472">
        <f t="shared" si="2"/>
        <v>12</v>
      </c>
      <c r="F36" s="472" t="str">
        <f t="shared" si="4"/>
        <v>pm</v>
      </c>
      <c r="G36" s="472" t="s">
        <v>401</v>
      </c>
      <c r="H36" s="472" t="s">
        <v>402</v>
      </c>
      <c r="I36" s="472" t="s">
        <v>403</v>
      </c>
      <c r="K36" s="473">
        <f t="shared" si="3"/>
        <v>1400</v>
      </c>
      <c r="M36" s="473">
        <v>1400</v>
      </c>
    </row>
    <row r="37" spans="1:16">
      <c r="A37" s="472">
        <v>2</v>
      </c>
      <c r="C37" s="472">
        <f t="shared" si="0"/>
        <v>28</v>
      </c>
      <c r="D37" s="472">
        <f t="shared" si="1"/>
        <v>25</v>
      </c>
      <c r="E37" s="472">
        <f t="shared" si="2"/>
        <v>12</v>
      </c>
      <c r="F37" s="472" t="str">
        <f t="shared" si="4"/>
        <v>cr</v>
      </c>
      <c r="G37" s="472" t="s">
        <v>404</v>
      </c>
      <c r="H37" s="472" t="s">
        <v>405</v>
      </c>
      <c r="I37" s="472" t="s">
        <v>406</v>
      </c>
      <c r="K37" s="473">
        <f t="shared" si="3"/>
        <v>1400</v>
      </c>
      <c r="M37" s="473">
        <v>1400</v>
      </c>
    </row>
    <row r="38" spans="1:16">
      <c r="A38" s="472">
        <v>3</v>
      </c>
      <c r="C38" s="472">
        <f t="shared" si="0"/>
        <v>29</v>
      </c>
      <c r="D38" s="472">
        <f t="shared" si="1"/>
        <v>29</v>
      </c>
      <c r="E38" s="472">
        <f t="shared" si="2"/>
        <v>12</v>
      </c>
      <c r="F38" s="472" t="str">
        <f t="shared" si="4"/>
        <v>pm</v>
      </c>
      <c r="G38" s="472" t="s">
        <v>159</v>
      </c>
      <c r="H38" s="472" t="s">
        <v>154</v>
      </c>
      <c r="I38" s="472" t="s">
        <v>158</v>
      </c>
      <c r="K38" s="473">
        <f t="shared" si="3"/>
        <v>1408.526724404192</v>
      </c>
      <c r="M38" s="473">
        <v>1400</v>
      </c>
      <c r="P38" s="472">
        <v>1408.526724404192</v>
      </c>
    </row>
    <row r="39" spans="1:16">
      <c r="A39" s="472">
        <v>3</v>
      </c>
      <c r="C39" s="472">
        <f t="shared" si="0"/>
        <v>30</v>
      </c>
      <c r="D39" s="472">
        <f t="shared" si="1"/>
        <v>30</v>
      </c>
      <c r="E39" s="472">
        <f t="shared" si="2"/>
        <v>12</v>
      </c>
      <c r="F39" s="472" t="str">
        <f t="shared" si="4"/>
        <v>pm</v>
      </c>
      <c r="G39" s="472" t="s">
        <v>162</v>
      </c>
      <c r="H39" s="472" t="s">
        <v>154</v>
      </c>
      <c r="I39" s="472" t="s">
        <v>161</v>
      </c>
      <c r="K39" s="473">
        <f t="shared" si="3"/>
        <v>1327.9539694536377</v>
      </c>
      <c r="M39" s="473">
        <v>1400</v>
      </c>
      <c r="P39" s="472">
        <v>1327.9539694536377</v>
      </c>
    </row>
    <row r="40" spans="1:16">
      <c r="A40" s="472">
        <v>3</v>
      </c>
      <c r="C40" s="472">
        <f t="shared" si="0"/>
        <v>31</v>
      </c>
      <c r="D40" s="472">
        <f t="shared" si="1"/>
        <v>31</v>
      </c>
      <c r="E40" s="472">
        <f t="shared" si="2"/>
        <v>12</v>
      </c>
      <c r="F40" s="472" t="str">
        <f t="shared" si="4"/>
        <v>pm</v>
      </c>
      <c r="G40" s="472" t="s">
        <v>165</v>
      </c>
      <c r="H40" s="472" t="s">
        <v>154</v>
      </c>
      <c r="I40" s="472" t="s">
        <v>164</v>
      </c>
      <c r="K40" s="473">
        <f t="shared" si="3"/>
        <v>1428.9471659044832</v>
      </c>
      <c r="M40" s="473">
        <v>1400</v>
      </c>
      <c r="P40" s="472">
        <v>1428.9471659044832</v>
      </c>
    </row>
    <row r="41" spans="1:16">
      <c r="A41" s="472">
        <v>3</v>
      </c>
      <c r="C41" s="472">
        <f t="shared" si="0"/>
        <v>32</v>
      </c>
      <c r="D41" s="472">
        <f t="shared" si="1"/>
        <v>32</v>
      </c>
      <c r="E41" s="472">
        <f t="shared" si="2"/>
        <v>12</v>
      </c>
      <c r="F41" s="472" t="str">
        <f t="shared" si="4"/>
        <v>pm</v>
      </c>
      <c r="G41" s="472" t="s">
        <v>168</v>
      </c>
      <c r="H41" s="472" t="s">
        <v>154</v>
      </c>
      <c r="I41" s="472" t="s">
        <v>167</v>
      </c>
      <c r="K41" s="473">
        <f t="shared" si="3"/>
        <v>1445.6204424026257</v>
      </c>
      <c r="M41" s="473">
        <v>1400</v>
      </c>
      <c r="P41" s="472">
        <v>1445.6204424026257</v>
      </c>
    </row>
    <row r="42" spans="1:16">
      <c r="A42" s="472">
        <v>5</v>
      </c>
      <c r="C42" s="472">
        <f t="shared" si="0"/>
        <v>33</v>
      </c>
      <c r="D42" s="472">
        <f t="shared" si="1"/>
        <v>33</v>
      </c>
      <c r="E42" s="472">
        <f t="shared" si="2"/>
        <v>12</v>
      </c>
      <c r="F42" s="472" t="str">
        <f t="shared" si="4"/>
        <v>pm</v>
      </c>
      <c r="G42" s="472" t="s">
        <v>407</v>
      </c>
      <c r="H42" s="472" t="s">
        <v>408</v>
      </c>
      <c r="I42" s="472" t="s">
        <v>409</v>
      </c>
      <c r="K42" s="473">
        <f t="shared" si="3"/>
        <v>1318.321316052037</v>
      </c>
      <c r="M42" s="473">
        <v>1400</v>
      </c>
      <c r="O42" s="472">
        <v>1318.321316052037</v>
      </c>
    </row>
    <row r="43" spans="1:16">
      <c r="A43" s="472">
        <v>5</v>
      </c>
      <c r="C43" s="472">
        <f t="shared" si="0"/>
        <v>34</v>
      </c>
      <c r="D43" s="472">
        <f t="shared" si="1"/>
        <v>34</v>
      </c>
      <c r="E43" s="472">
        <f t="shared" si="2"/>
        <v>12</v>
      </c>
      <c r="F43" s="472" t="str">
        <f t="shared" si="4"/>
        <v>pm</v>
      </c>
      <c r="G43" s="472" t="s">
        <v>410</v>
      </c>
      <c r="H43" s="472" t="s">
        <v>411</v>
      </c>
      <c r="I43" s="472" t="s">
        <v>412</v>
      </c>
      <c r="K43" s="473">
        <f t="shared" si="3"/>
        <v>1400</v>
      </c>
      <c r="M43" s="473">
        <v>1400</v>
      </c>
    </row>
    <row r="44" spans="1:16">
      <c r="A44" s="472">
        <v>5</v>
      </c>
      <c r="C44" s="472">
        <f t="shared" si="0"/>
        <v>35</v>
      </c>
      <c r="D44" s="472">
        <f t="shared" si="1"/>
        <v>34</v>
      </c>
      <c r="E44" s="472">
        <f t="shared" si="2"/>
        <v>12</v>
      </c>
      <c r="F44" s="472" t="str">
        <f t="shared" si="4"/>
        <v>pm</v>
      </c>
      <c r="G44" s="472" t="s">
        <v>413</v>
      </c>
      <c r="H44" s="472" t="s">
        <v>86</v>
      </c>
      <c r="I44" s="472" t="s">
        <v>414</v>
      </c>
      <c r="K44" s="473">
        <f t="shared" si="3"/>
        <v>1400</v>
      </c>
      <c r="M44" s="473">
        <v>1400</v>
      </c>
    </row>
    <row r="45" spans="1:16">
      <c r="A45" s="472">
        <v>4</v>
      </c>
      <c r="C45" s="472">
        <f t="shared" si="0"/>
        <v>36</v>
      </c>
      <c r="D45" s="472">
        <f t="shared" si="1"/>
        <v>34</v>
      </c>
      <c r="E45" s="472">
        <f t="shared" si="2"/>
        <v>12</v>
      </c>
      <c r="F45" s="472" t="str">
        <f t="shared" si="4"/>
        <v>pm</v>
      </c>
      <c r="G45" s="472" t="s">
        <v>415</v>
      </c>
      <c r="H45" s="472" t="s">
        <v>416</v>
      </c>
      <c r="I45" s="472" t="s">
        <v>417</v>
      </c>
      <c r="K45" s="473">
        <f t="shared" si="3"/>
        <v>1400</v>
      </c>
      <c r="M45" s="473">
        <v>1400</v>
      </c>
    </row>
    <row r="46" spans="1:16">
      <c r="A46" s="472">
        <v>4</v>
      </c>
      <c r="C46" s="472">
        <f t="shared" si="0"/>
        <v>37</v>
      </c>
      <c r="D46" s="472">
        <f t="shared" si="1"/>
        <v>34</v>
      </c>
      <c r="E46" s="472">
        <f t="shared" si="2"/>
        <v>12</v>
      </c>
      <c r="F46" s="472" t="str">
        <f t="shared" si="4"/>
        <v>pm</v>
      </c>
      <c r="G46" s="472" t="s">
        <v>418</v>
      </c>
      <c r="H46" s="472" t="s">
        <v>416</v>
      </c>
      <c r="I46" s="472" t="s">
        <v>419</v>
      </c>
      <c r="K46" s="473">
        <f t="shared" si="3"/>
        <v>1400</v>
      </c>
      <c r="M46" s="473">
        <v>1400</v>
      </c>
    </row>
    <row r="47" spans="1:16">
      <c r="A47" s="472">
        <v>1</v>
      </c>
      <c r="C47" s="472">
        <f t="shared" si="0"/>
        <v>38</v>
      </c>
      <c r="D47" s="472">
        <f t="shared" si="1"/>
        <v>38</v>
      </c>
      <c r="E47" s="472">
        <f t="shared" si="2"/>
        <v>12</v>
      </c>
      <c r="F47" s="472" t="str">
        <f t="shared" si="4"/>
        <v>crx</v>
      </c>
      <c r="G47" s="472" t="s">
        <v>138</v>
      </c>
      <c r="H47" s="472" t="s">
        <v>139</v>
      </c>
      <c r="I47" s="472" t="s">
        <v>137</v>
      </c>
      <c r="K47" s="473">
        <f t="shared" si="3"/>
        <v>1390.3511104387351</v>
      </c>
      <c r="M47" s="473">
        <v>1400</v>
      </c>
      <c r="P47" s="472">
        <v>1390.3511104387351</v>
      </c>
    </row>
    <row r="48" spans="1:16">
      <c r="A48" s="472">
        <v>1</v>
      </c>
      <c r="C48" s="472">
        <f t="shared" si="0"/>
        <v>39</v>
      </c>
      <c r="D48" s="472">
        <f t="shared" si="1"/>
        <v>39</v>
      </c>
      <c r="E48" s="472">
        <f t="shared" si="2"/>
        <v>12</v>
      </c>
      <c r="F48" s="472" t="str">
        <f t="shared" si="4"/>
        <v>crx</v>
      </c>
      <c r="G48" s="472" t="s">
        <v>144</v>
      </c>
      <c r="H48" s="472" t="s">
        <v>139</v>
      </c>
      <c r="I48" s="472" t="s">
        <v>143</v>
      </c>
      <c r="K48" s="473">
        <f t="shared" si="3"/>
        <v>1423.113267317799</v>
      </c>
      <c r="M48" s="473">
        <v>1400</v>
      </c>
      <c r="P48" s="472">
        <v>1423.113267317799</v>
      </c>
    </row>
    <row r="49" spans="1:16">
      <c r="A49" s="472">
        <v>6</v>
      </c>
      <c r="C49" s="472">
        <f t="shared" si="0"/>
        <v>40</v>
      </c>
      <c r="D49" s="472">
        <f t="shared" si="1"/>
        <v>40</v>
      </c>
      <c r="E49" s="472">
        <f t="shared" si="2"/>
        <v>12</v>
      </c>
      <c r="F49" s="472" t="str">
        <f t="shared" si="4"/>
        <v>pm</v>
      </c>
      <c r="G49" s="472" t="s">
        <v>420</v>
      </c>
      <c r="H49" s="472" t="s">
        <v>421</v>
      </c>
      <c r="I49" s="472" t="s">
        <v>422</v>
      </c>
      <c r="K49" s="473">
        <f t="shared" si="3"/>
        <v>1370.2953467160532</v>
      </c>
      <c r="M49" s="473">
        <v>1366.6666666666667</v>
      </c>
      <c r="O49" s="472">
        <v>1370.2953467160532</v>
      </c>
    </row>
    <row r="50" spans="1:16">
      <c r="A50" s="472">
        <v>3</v>
      </c>
      <c r="C50" s="472">
        <f t="shared" si="0"/>
        <v>41</v>
      </c>
      <c r="D50" s="472">
        <f t="shared" si="1"/>
        <v>41</v>
      </c>
      <c r="E50" s="472">
        <f t="shared" si="2"/>
        <v>12</v>
      </c>
      <c r="F50" s="472" t="str">
        <f t="shared" si="4"/>
        <v>pm</v>
      </c>
      <c r="G50" s="472" t="s">
        <v>122</v>
      </c>
      <c r="H50" s="472" t="s">
        <v>123</v>
      </c>
      <c r="I50" s="472" t="s">
        <v>121</v>
      </c>
      <c r="K50" s="473">
        <f t="shared" si="3"/>
        <v>1160.7781668554978</v>
      </c>
      <c r="M50" s="473">
        <v>1200</v>
      </c>
      <c r="P50" s="472">
        <v>1160.7781668554978</v>
      </c>
    </row>
    <row r="51" spans="1:16">
      <c r="A51" s="472">
        <v>3</v>
      </c>
      <c r="C51" s="472">
        <f t="shared" si="0"/>
        <v>42</v>
      </c>
      <c r="D51" s="472">
        <f t="shared" si="1"/>
        <v>42</v>
      </c>
      <c r="E51" s="472">
        <f t="shared" si="2"/>
        <v>12</v>
      </c>
      <c r="F51" s="472" t="str">
        <f t="shared" si="4"/>
        <v>pm</v>
      </c>
      <c r="G51" s="472" t="s">
        <v>423</v>
      </c>
      <c r="H51" s="472" t="s">
        <v>331</v>
      </c>
      <c r="I51" s="472" t="s">
        <v>424</v>
      </c>
      <c r="K51" s="473">
        <f t="shared" si="3"/>
        <v>1200</v>
      </c>
      <c r="M51" s="473">
        <v>1200</v>
      </c>
    </row>
    <row r="52" spans="1:16">
      <c r="A52" s="472">
        <v>3</v>
      </c>
      <c r="C52" s="472">
        <f t="shared" si="0"/>
        <v>43</v>
      </c>
      <c r="D52" s="472">
        <f t="shared" si="1"/>
        <v>42</v>
      </c>
      <c r="E52" s="472">
        <f t="shared" si="2"/>
        <v>12</v>
      </c>
      <c r="F52" s="472" t="str">
        <f t="shared" si="4"/>
        <v>pm</v>
      </c>
      <c r="G52" s="472" t="s">
        <v>425</v>
      </c>
      <c r="H52" s="472" t="s">
        <v>331</v>
      </c>
      <c r="I52" s="472" t="s">
        <v>426</v>
      </c>
      <c r="K52" s="473">
        <f t="shared" si="3"/>
        <v>1200</v>
      </c>
      <c r="M52" s="473">
        <v>1200</v>
      </c>
    </row>
    <row r="53" spans="1:16">
      <c r="A53" s="472">
        <v>1</v>
      </c>
      <c r="C53" s="472">
        <f t="shared" si="0"/>
        <v>44</v>
      </c>
      <c r="D53" s="472">
        <f t="shared" si="1"/>
        <v>44</v>
      </c>
      <c r="E53" s="472">
        <f t="shared" si="2"/>
        <v>12</v>
      </c>
      <c r="F53" s="472" t="str">
        <f t="shared" si="4"/>
        <v>pmx</v>
      </c>
      <c r="G53" s="472" t="s">
        <v>300</v>
      </c>
      <c r="H53" s="472" t="s">
        <v>301</v>
      </c>
      <c r="I53" s="472" t="s">
        <v>299</v>
      </c>
      <c r="K53" s="473">
        <f t="shared" si="3"/>
        <v>1178.1633229210488</v>
      </c>
      <c r="M53" s="473">
        <v>1200</v>
      </c>
      <c r="P53" s="472">
        <v>1178.1633229210488</v>
      </c>
    </row>
    <row r="54" spans="1:16">
      <c r="A54" s="472">
        <v>1</v>
      </c>
      <c r="C54" s="472">
        <f t="shared" si="0"/>
        <v>45</v>
      </c>
      <c r="D54" s="472">
        <f t="shared" si="1"/>
        <v>45</v>
      </c>
      <c r="E54" s="472">
        <f t="shared" si="2"/>
        <v>12</v>
      </c>
      <c r="F54" s="472" t="str">
        <f t="shared" si="4"/>
        <v>pmx</v>
      </c>
      <c r="G54" s="472" t="s">
        <v>305</v>
      </c>
      <c r="H54" s="472" t="s">
        <v>301</v>
      </c>
      <c r="I54" s="472" t="s">
        <v>304</v>
      </c>
      <c r="K54" s="473">
        <f t="shared" si="3"/>
        <v>1105.6218709496536</v>
      </c>
      <c r="M54" s="473">
        <v>1200</v>
      </c>
      <c r="P54" s="472">
        <v>1105.6218709496536</v>
      </c>
    </row>
    <row r="55" spans="1:16">
      <c r="A55" s="472">
        <v>3</v>
      </c>
      <c r="C55" s="472">
        <f t="shared" si="0"/>
        <v>46</v>
      </c>
      <c r="D55" s="472">
        <f t="shared" si="1"/>
        <v>46</v>
      </c>
      <c r="E55" s="472">
        <f t="shared" si="2"/>
        <v>12</v>
      </c>
      <c r="F55" s="472" t="str">
        <f t="shared" si="4"/>
        <v>pm</v>
      </c>
      <c r="G55" s="472" t="s">
        <v>96</v>
      </c>
      <c r="H55" s="472" t="s">
        <v>92</v>
      </c>
      <c r="I55" s="472" t="s">
        <v>146</v>
      </c>
      <c r="K55" s="473">
        <f t="shared" si="3"/>
        <v>1233.4527459403562</v>
      </c>
      <c r="M55" s="473">
        <v>1200</v>
      </c>
      <c r="P55" s="472">
        <v>1233.4527459403562</v>
      </c>
    </row>
    <row r="56" spans="1:16">
      <c r="A56" s="472">
        <v>2</v>
      </c>
      <c r="C56" s="472">
        <f t="shared" si="0"/>
        <v>47</v>
      </c>
      <c r="D56" s="472">
        <f t="shared" si="1"/>
        <v>47</v>
      </c>
      <c r="E56" s="472">
        <f t="shared" si="2"/>
        <v>12</v>
      </c>
      <c r="F56" s="472" t="str">
        <f t="shared" si="4"/>
        <v>pm</v>
      </c>
      <c r="G56" s="472" t="s">
        <v>149</v>
      </c>
      <c r="H56" s="472" t="s">
        <v>92</v>
      </c>
      <c r="I56" s="472" t="s">
        <v>148</v>
      </c>
      <c r="K56" s="473">
        <f t="shared" si="3"/>
        <v>1197.8219776000703</v>
      </c>
      <c r="M56" s="473">
        <v>1200</v>
      </c>
      <c r="P56" s="472">
        <v>1197.8219776000703</v>
      </c>
    </row>
    <row r="57" spans="1:16">
      <c r="A57" s="472">
        <v>2</v>
      </c>
      <c r="C57" s="472">
        <f t="shared" si="0"/>
        <v>48</v>
      </c>
      <c r="D57" s="472">
        <f t="shared" si="1"/>
        <v>48</v>
      </c>
      <c r="E57" s="472">
        <f t="shared" si="2"/>
        <v>12</v>
      </c>
      <c r="F57" s="472" t="str">
        <f t="shared" si="4"/>
        <v>pm</v>
      </c>
      <c r="G57" s="472" t="s">
        <v>427</v>
      </c>
      <c r="H57" s="472" t="s">
        <v>397</v>
      </c>
      <c r="I57" s="472" t="s">
        <v>428</v>
      </c>
      <c r="K57" s="473">
        <f t="shared" si="3"/>
        <v>1200</v>
      </c>
      <c r="M57" s="473">
        <v>1200</v>
      </c>
    </row>
    <row r="58" spans="1:16">
      <c r="A58" s="472">
        <v>1</v>
      </c>
      <c r="C58" s="472">
        <f t="shared" si="0"/>
        <v>49</v>
      </c>
      <c r="D58" s="472">
        <f t="shared" si="1"/>
        <v>48</v>
      </c>
      <c r="E58" s="472">
        <f t="shared" si="2"/>
        <v>12</v>
      </c>
      <c r="F58" s="472" t="str">
        <f t="shared" si="4"/>
        <v>sox</v>
      </c>
      <c r="G58" s="472" t="s">
        <v>429</v>
      </c>
      <c r="H58" s="472" t="s">
        <v>430</v>
      </c>
      <c r="I58" s="472" t="s">
        <v>431</v>
      </c>
      <c r="K58" s="473">
        <f t="shared" si="3"/>
        <v>1200</v>
      </c>
      <c r="M58" s="473">
        <v>1200</v>
      </c>
    </row>
    <row r="59" spans="1:16">
      <c r="A59" s="472">
        <v>4</v>
      </c>
      <c r="C59" s="472">
        <f t="shared" si="0"/>
        <v>50</v>
      </c>
      <c r="D59" s="472">
        <f t="shared" si="1"/>
        <v>50</v>
      </c>
      <c r="E59" s="472">
        <f t="shared" si="2"/>
        <v>12</v>
      </c>
      <c r="F59" s="472" t="str">
        <f t="shared" si="4"/>
        <v>pm</v>
      </c>
      <c r="G59" s="472" t="s">
        <v>133</v>
      </c>
      <c r="H59" s="472" t="s">
        <v>86</v>
      </c>
      <c r="I59" s="472" t="s">
        <v>90</v>
      </c>
      <c r="K59" s="473">
        <f t="shared" si="3"/>
        <v>1186.8787697632317</v>
      </c>
      <c r="M59" s="473">
        <v>1200</v>
      </c>
      <c r="P59" s="472">
        <v>1186.8787697632317</v>
      </c>
    </row>
    <row r="60" spans="1:16">
      <c r="A60" s="472">
        <v>4</v>
      </c>
      <c r="C60" s="472">
        <f t="shared" si="0"/>
        <v>51</v>
      </c>
      <c r="D60" s="472">
        <f t="shared" si="1"/>
        <v>51</v>
      </c>
      <c r="E60" s="472">
        <f t="shared" si="2"/>
        <v>12</v>
      </c>
      <c r="F60" s="472" t="str">
        <f t="shared" si="4"/>
        <v>pm</v>
      </c>
      <c r="G60" s="472" t="s">
        <v>135</v>
      </c>
      <c r="H60" s="472" t="s">
        <v>86</v>
      </c>
      <c r="I60" s="472" t="s">
        <v>134</v>
      </c>
      <c r="K60" s="473">
        <f t="shared" si="3"/>
        <v>1264.5083262633123</v>
      </c>
      <c r="M60" s="473">
        <v>1200</v>
      </c>
      <c r="P60" s="472">
        <v>1264.5083262633123</v>
      </c>
    </row>
    <row r="61" spans="1:16">
      <c r="A61" s="472">
        <v>1</v>
      </c>
      <c r="C61" s="472">
        <f t="shared" si="0"/>
        <v>52</v>
      </c>
      <c r="D61" s="472">
        <f t="shared" si="1"/>
        <v>52</v>
      </c>
      <c r="E61" s="472">
        <f t="shared" si="2"/>
        <v>12</v>
      </c>
      <c r="F61" s="472" t="str">
        <f t="shared" si="4"/>
        <v>pmx</v>
      </c>
      <c r="G61" s="472" t="s">
        <v>128</v>
      </c>
      <c r="H61" s="472" t="s">
        <v>86</v>
      </c>
      <c r="I61" s="472" t="s">
        <v>127</v>
      </c>
      <c r="K61" s="473">
        <f t="shared" si="3"/>
        <v>1172.9376425568462</v>
      </c>
      <c r="M61" s="473">
        <v>1200</v>
      </c>
      <c r="P61" s="472">
        <v>1172.9376425568462</v>
      </c>
    </row>
    <row r="62" spans="1:16">
      <c r="A62" s="472">
        <v>4</v>
      </c>
      <c r="C62" s="472">
        <f t="shared" si="0"/>
        <v>53</v>
      </c>
      <c r="D62" s="472">
        <f t="shared" si="1"/>
        <v>53</v>
      </c>
      <c r="E62" s="472">
        <f t="shared" si="2"/>
        <v>12</v>
      </c>
      <c r="F62" s="472" t="str">
        <f t="shared" si="4"/>
        <v>pm</v>
      </c>
      <c r="G62" s="472" t="s">
        <v>116</v>
      </c>
      <c r="H62" s="472" t="s">
        <v>117</v>
      </c>
      <c r="I62" s="472" t="s">
        <v>115</v>
      </c>
      <c r="K62" s="473">
        <f t="shared" si="3"/>
        <v>1169.9965894145842</v>
      </c>
      <c r="M62" s="473">
        <v>1200</v>
      </c>
      <c r="P62" s="472">
        <v>1169.9965894145842</v>
      </c>
    </row>
    <row r="63" spans="1:16">
      <c r="A63" s="472">
        <v>2</v>
      </c>
      <c r="C63" s="472">
        <f t="shared" si="0"/>
        <v>1</v>
      </c>
      <c r="D63" s="472">
        <f t="shared" si="1"/>
        <v>1</v>
      </c>
      <c r="E63" s="472">
        <f t="shared" si="2"/>
        <v>13</v>
      </c>
      <c r="F63" s="472" t="str">
        <f t="shared" si="4"/>
        <v>cr</v>
      </c>
      <c r="G63" s="472" t="s">
        <v>432</v>
      </c>
      <c r="H63" s="472" t="s">
        <v>433</v>
      </c>
      <c r="I63" s="472" t="s">
        <v>434</v>
      </c>
      <c r="K63" s="473">
        <f t="shared" si="3"/>
        <v>2100</v>
      </c>
      <c r="M63" s="473">
        <v>2100</v>
      </c>
    </row>
    <row r="64" spans="1:16">
      <c r="A64" s="472">
        <v>1</v>
      </c>
      <c r="C64" s="472">
        <f t="shared" si="0"/>
        <v>2</v>
      </c>
      <c r="D64" s="472">
        <f t="shared" si="1"/>
        <v>2</v>
      </c>
      <c r="E64" s="472">
        <f t="shared" si="2"/>
        <v>13</v>
      </c>
      <c r="F64" s="472" t="str">
        <f t="shared" si="4"/>
        <v>sox</v>
      </c>
      <c r="G64" s="472" t="s">
        <v>435</v>
      </c>
      <c r="H64" s="472" t="s">
        <v>351</v>
      </c>
      <c r="I64" s="472" t="s">
        <v>436</v>
      </c>
      <c r="K64" s="473">
        <f t="shared" si="3"/>
        <v>2000</v>
      </c>
      <c r="M64" s="473">
        <v>2000</v>
      </c>
    </row>
    <row r="65" spans="1:14">
      <c r="A65" s="472">
        <v>2</v>
      </c>
      <c r="C65" s="472">
        <f t="shared" si="0"/>
        <v>3</v>
      </c>
      <c r="D65" s="472">
        <f t="shared" si="1"/>
        <v>3</v>
      </c>
      <c r="E65" s="472">
        <f t="shared" si="2"/>
        <v>13</v>
      </c>
      <c r="F65" s="472" t="str">
        <f t="shared" si="4"/>
        <v>pm</v>
      </c>
      <c r="G65" s="472" t="s">
        <v>437</v>
      </c>
      <c r="H65" s="472" t="s">
        <v>370</v>
      </c>
      <c r="I65" s="472" t="s">
        <v>438</v>
      </c>
      <c r="K65" s="473">
        <f t="shared" si="3"/>
        <v>1957.4424167884204</v>
      </c>
      <c r="M65" s="473">
        <v>2000</v>
      </c>
      <c r="N65" s="472">
        <v>1957.4424167884204</v>
      </c>
    </row>
    <row r="66" spans="1:14">
      <c r="A66" s="472">
        <v>1</v>
      </c>
      <c r="C66" s="472">
        <f t="shared" ref="C66:C129" si="5">IF(E66=E65,C65+1,1)</f>
        <v>4</v>
      </c>
      <c r="D66" s="472">
        <f t="shared" ref="D66:D129" si="6">IF(K66=K65,D65,C66)</f>
        <v>4</v>
      </c>
      <c r="E66" s="472">
        <f t="shared" ref="E66:E129" si="7">10+VALUE(RIGHT(LEFT(G66,3),1))</f>
        <v>13</v>
      </c>
      <c r="F66" s="472" t="str">
        <f t="shared" si="4"/>
        <v>crx</v>
      </c>
      <c r="G66" s="472" t="s">
        <v>439</v>
      </c>
      <c r="H66" s="472" t="s">
        <v>440</v>
      </c>
      <c r="I66" s="472" t="s">
        <v>441</v>
      </c>
      <c r="K66" s="473">
        <f t="shared" ref="K66:K129" si="8">LOOKUP(1E+100,M66:AC66)</f>
        <v>2019.1725953669204</v>
      </c>
      <c r="M66" s="473">
        <v>2000</v>
      </c>
      <c r="N66" s="472">
        <v>2019.1725953669204</v>
      </c>
    </row>
    <row r="67" spans="1:14">
      <c r="A67" s="472">
        <v>4</v>
      </c>
      <c r="C67" s="472">
        <f t="shared" si="5"/>
        <v>5</v>
      </c>
      <c r="D67" s="472">
        <f t="shared" si="6"/>
        <v>5</v>
      </c>
      <c r="E67" s="472">
        <f t="shared" si="7"/>
        <v>13</v>
      </c>
      <c r="F67" s="472" t="str">
        <f t="shared" ref="F67:F130" si="9">RIGHT(G67,2) &amp; IF(A67&lt;2,"x","")</f>
        <v>pm</v>
      </c>
      <c r="G67" s="472" t="s">
        <v>442</v>
      </c>
      <c r="H67" s="472" t="s">
        <v>331</v>
      </c>
      <c r="I67" s="472" t="s">
        <v>443</v>
      </c>
      <c r="K67" s="473">
        <f t="shared" si="8"/>
        <v>2136.3174765642048</v>
      </c>
      <c r="M67" s="473">
        <v>2000</v>
      </c>
      <c r="N67" s="472">
        <v>2136.3174765642048</v>
      </c>
    </row>
    <row r="68" spans="1:14">
      <c r="A68" s="472">
        <v>6</v>
      </c>
      <c r="C68" s="472">
        <f t="shared" si="5"/>
        <v>6</v>
      </c>
      <c r="D68" s="472">
        <f t="shared" si="6"/>
        <v>6</v>
      </c>
      <c r="E68" s="472">
        <f t="shared" si="7"/>
        <v>13</v>
      </c>
      <c r="F68" s="472" t="str">
        <f t="shared" si="9"/>
        <v>pm</v>
      </c>
      <c r="G68" s="472" t="s">
        <v>444</v>
      </c>
      <c r="H68" s="472" t="s">
        <v>386</v>
      </c>
      <c r="I68" s="472" t="s">
        <v>445</v>
      </c>
      <c r="K68" s="473">
        <f t="shared" si="8"/>
        <v>2121.6308368759796</v>
      </c>
      <c r="M68" s="473">
        <v>2000</v>
      </c>
      <c r="N68" s="472">
        <v>2121.6308368759796</v>
      </c>
    </row>
    <row r="69" spans="1:14">
      <c r="A69" s="472">
        <v>3</v>
      </c>
      <c r="C69" s="472">
        <f t="shared" si="5"/>
        <v>7</v>
      </c>
      <c r="D69" s="472">
        <f t="shared" si="6"/>
        <v>7</v>
      </c>
      <c r="E69" s="472">
        <f t="shared" si="7"/>
        <v>13</v>
      </c>
      <c r="F69" s="472" t="str">
        <f t="shared" si="9"/>
        <v>pm</v>
      </c>
      <c r="G69" s="472" t="s">
        <v>446</v>
      </c>
      <c r="H69" s="472" t="s">
        <v>391</v>
      </c>
      <c r="I69" s="472" t="s">
        <v>447</v>
      </c>
      <c r="K69" s="473">
        <f t="shared" si="8"/>
        <v>2000</v>
      </c>
      <c r="M69" s="473">
        <v>2000</v>
      </c>
    </row>
    <row r="70" spans="1:14">
      <c r="A70" s="472">
        <v>1</v>
      </c>
      <c r="C70" s="472">
        <f t="shared" si="5"/>
        <v>8</v>
      </c>
      <c r="D70" s="472">
        <f t="shared" si="6"/>
        <v>7</v>
      </c>
      <c r="E70" s="472">
        <f t="shared" si="7"/>
        <v>13</v>
      </c>
      <c r="F70" s="472" t="str">
        <f t="shared" si="9"/>
        <v>pmx</v>
      </c>
      <c r="G70" s="472" t="s">
        <v>448</v>
      </c>
      <c r="H70" s="472" t="s">
        <v>449</v>
      </c>
      <c r="I70" s="472" t="s">
        <v>450</v>
      </c>
      <c r="K70" s="473">
        <f t="shared" si="8"/>
        <v>2000</v>
      </c>
      <c r="M70" s="473">
        <v>2000</v>
      </c>
    </row>
    <row r="71" spans="1:14">
      <c r="A71" s="472">
        <v>3</v>
      </c>
      <c r="C71" s="472">
        <f t="shared" si="5"/>
        <v>9</v>
      </c>
      <c r="D71" s="472">
        <f t="shared" si="6"/>
        <v>9</v>
      </c>
      <c r="E71" s="472">
        <f t="shared" si="7"/>
        <v>13</v>
      </c>
      <c r="F71" s="472" t="str">
        <f t="shared" si="9"/>
        <v>pm</v>
      </c>
      <c r="G71" s="472" t="s">
        <v>451</v>
      </c>
      <c r="H71" s="472" t="s">
        <v>452</v>
      </c>
      <c r="I71" s="472" t="s">
        <v>453</v>
      </c>
      <c r="K71" s="473">
        <f t="shared" si="8"/>
        <v>2068.8673410456058</v>
      </c>
      <c r="M71" s="473">
        <v>2000</v>
      </c>
      <c r="N71" s="472">
        <v>2068.8673410456058</v>
      </c>
    </row>
    <row r="72" spans="1:14">
      <c r="A72" s="472">
        <v>2</v>
      </c>
      <c r="C72" s="472">
        <f t="shared" si="5"/>
        <v>10</v>
      </c>
      <c r="D72" s="472">
        <f t="shared" si="6"/>
        <v>10</v>
      </c>
      <c r="E72" s="472">
        <f t="shared" si="7"/>
        <v>13</v>
      </c>
      <c r="F72" s="472" t="str">
        <f t="shared" si="9"/>
        <v>pm</v>
      </c>
      <c r="G72" s="472" t="s">
        <v>454</v>
      </c>
      <c r="H72" s="472" t="s">
        <v>154</v>
      </c>
      <c r="I72" s="472" t="s">
        <v>455</v>
      </c>
      <c r="K72" s="473">
        <f t="shared" si="8"/>
        <v>2000</v>
      </c>
      <c r="M72" s="473">
        <v>2000</v>
      </c>
    </row>
    <row r="73" spans="1:14">
      <c r="A73" s="472">
        <v>2</v>
      </c>
      <c r="C73" s="472">
        <f t="shared" si="5"/>
        <v>11</v>
      </c>
      <c r="D73" s="472">
        <f t="shared" si="6"/>
        <v>10</v>
      </c>
      <c r="E73" s="472">
        <f t="shared" si="7"/>
        <v>13</v>
      </c>
      <c r="F73" s="472" t="str">
        <f t="shared" si="9"/>
        <v>pm</v>
      </c>
      <c r="G73" s="472" t="s">
        <v>456</v>
      </c>
      <c r="H73" s="472" t="s">
        <v>154</v>
      </c>
      <c r="I73" s="472" t="s">
        <v>457</v>
      </c>
      <c r="K73" s="473">
        <f t="shared" si="8"/>
        <v>2000</v>
      </c>
      <c r="M73" s="473">
        <v>2000</v>
      </c>
    </row>
    <row r="74" spans="1:14">
      <c r="A74" s="472">
        <v>2</v>
      </c>
      <c r="C74" s="472">
        <f t="shared" si="5"/>
        <v>12</v>
      </c>
      <c r="D74" s="472">
        <f t="shared" si="6"/>
        <v>10</v>
      </c>
      <c r="E74" s="472">
        <f t="shared" si="7"/>
        <v>13</v>
      </c>
      <c r="F74" s="472" t="str">
        <f t="shared" si="9"/>
        <v>pm</v>
      </c>
      <c r="G74" s="472" t="s">
        <v>458</v>
      </c>
      <c r="H74" s="472" t="s">
        <v>154</v>
      </c>
      <c r="I74" s="472" t="s">
        <v>459</v>
      </c>
      <c r="K74" s="473">
        <f t="shared" si="8"/>
        <v>2000</v>
      </c>
      <c r="M74" s="473">
        <v>2000</v>
      </c>
    </row>
    <row r="75" spans="1:14">
      <c r="A75" s="472">
        <v>3</v>
      </c>
      <c r="C75" s="472">
        <f t="shared" si="5"/>
        <v>13</v>
      </c>
      <c r="D75" s="472">
        <f t="shared" si="6"/>
        <v>10</v>
      </c>
      <c r="E75" s="472">
        <f t="shared" si="7"/>
        <v>13</v>
      </c>
      <c r="F75" s="472" t="str">
        <f t="shared" si="9"/>
        <v>pm</v>
      </c>
      <c r="G75" s="472" t="s">
        <v>460</v>
      </c>
      <c r="H75" s="472" t="s">
        <v>408</v>
      </c>
      <c r="I75" s="472" t="s">
        <v>461</v>
      </c>
      <c r="K75" s="473">
        <f t="shared" si="8"/>
        <v>2000</v>
      </c>
      <c r="M75" s="473">
        <v>2000</v>
      </c>
    </row>
    <row r="76" spans="1:14">
      <c r="A76" s="472">
        <v>3</v>
      </c>
      <c r="C76" s="472">
        <f t="shared" si="5"/>
        <v>14</v>
      </c>
      <c r="D76" s="472">
        <f t="shared" si="6"/>
        <v>10</v>
      </c>
      <c r="E76" s="472">
        <f t="shared" si="7"/>
        <v>13</v>
      </c>
      <c r="F76" s="472" t="str">
        <f t="shared" si="9"/>
        <v>pm</v>
      </c>
      <c r="G76" s="472" t="s">
        <v>462</v>
      </c>
      <c r="H76" s="472" t="s">
        <v>408</v>
      </c>
      <c r="I76" s="472" t="s">
        <v>463</v>
      </c>
      <c r="K76" s="473">
        <f t="shared" si="8"/>
        <v>2000</v>
      </c>
      <c r="M76" s="473">
        <v>2000</v>
      </c>
    </row>
    <row r="77" spans="1:14">
      <c r="A77" s="472">
        <v>1</v>
      </c>
      <c r="C77" s="472">
        <f t="shared" si="5"/>
        <v>15</v>
      </c>
      <c r="D77" s="472">
        <f t="shared" si="6"/>
        <v>10</v>
      </c>
      <c r="E77" s="472">
        <f t="shared" si="7"/>
        <v>13</v>
      </c>
      <c r="F77" s="472" t="str">
        <f t="shared" si="9"/>
        <v>odx</v>
      </c>
      <c r="G77" s="472" t="s">
        <v>464</v>
      </c>
      <c r="H77" s="472" t="s">
        <v>465</v>
      </c>
      <c r="I77" s="472" t="s">
        <v>466</v>
      </c>
      <c r="K77" s="473">
        <f t="shared" si="8"/>
        <v>2000</v>
      </c>
      <c r="M77" s="473">
        <v>2000</v>
      </c>
    </row>
    <row r="78" spans="1:14">
      <c r="A78" s="472">
        <v>2</v>
      </c>
      <c r="C78" s="472">
        <f t="shared" si="5"/>
        <v>16</v>
      </c>
      <c r="D78" s="472">
        <f t="shared" si="6"/>
        <v>10</v>
      </c>
      <c r="E78" s="472">
        <f t="shared" si="7"/>
        <v>13</v>
      </c>
      <c r="F78" s="472" t="str">
        <f t="shared" si="9"/>
        <v>pm</v>
      </c>
      <c r="G78" s="472" t="s">
        <v>467</v>
      </c>
      <c r="H78" s="472" t="s">
        <v>86</v>
      </c>
      <c r="I78" s="472" t="s">
        <v>468</v>
      </c>
      <c r="K78" s="473">
        <f t="shared" si="8"/>
        <v>2000</v>
      </c>
      <c r="M78" s="473">
        <v>2000</v>
      </c>
    </row>
    <row r="79" spans="1:14">
      <c r="A79" s="472">
        <v>1</v>
      </c>
      <c r="C79" s="472">
        <f t="shared" si="5"/>
        <v>17</v>
      </c>
      <c r="D79" s="472">
        <f t="shared" si="6"/>
        <v>10</v>
      </c>
      <c r="E79" s="472">
        <f t="shared" si="7"/>
        <v>13</v>
      </c>
      <c r="F79" s="472" t="str">
        <f t="shared" si="9"/>
        <v>crx</v>
      </c>
      <c r="G79" s="472" t="s">
        <v>469</v>
      </c>
      <c r="H79" s="472" t="s">
        <v>470</v>
      </c>
      <c r="I79" s="472" t="s">
        <v>471</v>
      </c>
      <c r="K79" s="473">
        <f t="shared" si="8"/>
        <v>2000</v>
      </c>
      <c r="M79" s="473">
        <v>2000</v>
      </c>
    </row>
    <row r="80" spans="1:14">
      <c r="A80" s="472">
        <v>1</v>
      </c>
      <c r="C80" s="472">
        <f t="shared" si="5"/>
        <v>18</v>
      </c>
      <c r="D80" s="472">
        <f t="shared" si="6"/>
        <v>10</v>
      </c>
      <c r="E80" s="472">
        <f t="shared" si="7"/>
        <v>13</v>
      </c>
      <c r="F80" s="472" t="str">
        <f t="shared" si="9"/>
        <v>crx</v>
      </c>
      <c r="G80" s="472" t="s">
        <v>472</v>
      </c>
      <c r="H80" s="472" t="s">
        <v>139</v>
      </c>
      <c r="I80" s="472" t="s">
        <v>473</v>
      </c>
      <c r="K80" s="473">
        <f t="shared" si="8"/>
        <v>2000</v>
      </c>
      <c r="M80" s="473">
        <v>2000</v>
      </c>
    </row>
    <row r="81" spans="1:15">
      <c r="A81" s="472">
        <v>1</v>
      </c>
      <c r="C81" s="472">
        <f t="shared" si="5"/>
        <v>19</v>
      </c>
      <c r="D81" s="472">
        <f t="shared" si="6"/>
        <v>10</v>
      </c>
      <c r="E81" s="472">
        <f t="shared" si="7"/>
        <v>13</v>
      </c>
      <c r="F81" s="472" t="str">
        <f t="shared" si="9"/>
        <v>pmx</v>
      </c>
      <c r="G81" s="472" t="s">
        <v>474</v>
      </c>
      <c r="H81" s="472" t="s">
        <v>346</v>
      </c>
      <c r="I81" s="472" t="s">
        <v>475</v>
      </c>
      <c r="K81" s="473">
        <f t="shared" si="8"/>
        <v>2000</v>
      </c>
      <c r="M81" s="473">
        <v>2000</v>
      </c>
    </row>
    <row r="82" spans="1:15">
      <c r="A82" s="472">
        <v>1</v>
      </c>
      <c r="C82" s="472">
        <f t="shared" si="5"/>
        <v>20</v>
      </c>
      <c r="D82" s="472">
        <f t="shared" si="6"/>
        <v>10</v>
      </c>
      <c r="E82" s="472">
        <f t="shared" si="7"/>
        <v>13</v>
      </c>
      <c r="F82" s="472" t="str">
        <f t="shared" si="9"/>
        <v>pmx</v>
      </c>
      <c r="G82" s="472" t="s">
        <v>476</v>
      </c>
      <c r="H82" s="472" t="s">
        <v>346</v>
      </c>
      <c r="I82" s="472" t="s">
        <v>477</v>
      </c>
      <c r="K82" s="473">
        <f t="shared" si="8"/>
        <v>2000</v>
      </c>
      <c r="M82" s="473">
        <v>2000</v>
      </c>
    </row>
    <row r="83" spans="1:15">
      <c r="A83" s="472">
        <v>1</v>
      </c>
      <c r="C83" s="472">
        <f t="shared" si="5"/>
        <v>21</v>
      </c>
      <c r="D83" s="472">
        <f t="shared" si="6"/>
        <v>10</v>
      </c>
      <c r="E83" s="472">
        <f t="shared" si="7"/>
        <v>13</v>
      </c>
      <c r="F83" s="472" t="str">
        <f t="shared" si="9"/>
        <v>pmx</v>
      </c>
      <c r="G83" s="472" t="s">
        <v>478</v>
      </c>
      <c r="H83" s="472" t="s">
        <v>346</v>
      </c>
      <c r="I83" s="472" t="s">
        <v>479</v>
      </c>
      <c r="K83" s="473">
        <f t="shared" si="8"/>
        <v>2000</v>
      </c>
      <c r="M83" s="473">
        <v>2000</v>
      </c>
    </row>
    <row r="84" spans="1:15">
      <c r="A84" s="472">
        <v>1</v>
      </c>
      <c r="C84" s="472">
        <f t="shared" si="5"/>
        <v>22</v>
      </c>
      <c r="D84" s="472">
        <f t="shared" si="6"/>
        <v>10</v>
      </c>
      <c r="E84" s="472">
        <f t="shared" si="7"/>
        <v>13</v>
      </c>
      <c r="F84" s="472" t="str">
        <f t="shared" si="9"/>
        <v>pmx</v>
      </c>
      <c r="G84" s="472" t="s">
        <v>480</v>
      </c>
      <c r="H84" s="472" t="s">
        <v>346</v>
      </c>
      <c r="I84" s="472" t="s">
        <v>481</v>
      </c>
      <c r="K84" s="473">
        <f t="shared" si="8"/>
        <v>2000</v>
      </c>
      <c r="M84" s="473">
        <v>2000</v>
      </c>
    </row>
    <row r="85" spans="1:15">
      <c r="A85" s="472">
        <v>3</v>
      </c>
      <c r="C85" s="472">
        <f t="shared" si="5"/>
        <v>23</v>
      </c>
      <c r="D85" s="472">
        <f t="shared" si="6"/>
        <v>10</v>
      </c>
      <c r="E85" s="472">
        <f t="shared" si="7"/>
        <v>13</v>
      </c>
      <c r="F85" s="472" t="str">
        <f t="shared" si="9"/>
        <v>pm</v>
      </c>
      <c r="G85" s="472" t="s">
        <v>482</v>
      </c>
      <c r="H85" s="472" t="s">
        <v>483</v>
      </c>
      <c r="I85" s="472" t="s">
        <v>484</v>
      </c>
      <c r="K85" s="473">
        <f t="shared" si="8"/>
        <v>2000</v>
      </c>
      <c r="M85" s="473">
        <v>2000</v>
      </c>
    </row>
    <row r="86" spans="1:15">
      <c r="A86" s="472">
        <v>4</v>
      </c>
      <c r="C86" s="472">
        <f t="shared" si="5"/>
        <v>24</v>
      </c>
      <c r="D86" s="472">
        <f t="shared" si="6"/>
        <v>24</v>
      </c>
      <c r="E86" s="472">
        <f t="shared" si="7"/>
        <v>13</v>
      </c>
      <c r="F86" s="472" t="str">
        <f t="shared" si="9"/>
        <v>pm</v>
      </c>
      <c r="G86" s="472" t="s">
        <v>485</v>
      </c>
      <c r="H86" s="472" t="s">
        <v>92</v>
      </c>
      <c r="I86" s="472" t="s">
        <v>486</v>
      </c>
      <c r="K86" s="473">
        <f t="shared" si="8"/>
        <v>1950</v>
      </c>
      <c r="M86" s="473">
        <v>1950</v>
      </c>
    </row>
    <row r="87" spans="1:15">
      <c r="A87" s="472">
        <v>5</v>
      </c>
      <c r="C87" s="472">
        <f t="shared" si="5"/>
        <v>25</v>
      </c>
      <c r="D87" s="472">
        <f t="shared" si="6"/>
        <v>25</v>
      </c>
      <c r="E87" s="472">
        <f t="shared" si="7"/>
        <v>13</v>
      </c>
      <c r="F87" s="472" t="str">
        <f t="shared" si="9"/>
        <v>pm</v>
      </c>
      <c r="G87" s="472" t="s">
        <v>487</v>
      </c>
      <c r="H87" s="472" t="s">
        <v>92</v>
      </c>
      <c r="I87" s="472" t="s">
        <v>488</v>
      </c>
      <c r="K87" s="473">
        <f t="shared" si="8"/>
        <v>1920</v>
      </c>
      <c r="M87" s="473">
        <v>1920</v>
      </c>
    </row>
    <row r="88" spans="1:15">
      <c r="A88" s="472">
        <v>3</v>
      </c>
      <c r="C88" s="472">
        <f t="shared" si="5"/>
        <v>26</v>
      </c>
      <c r="D88" s="472">
        <f t="shared" si="6"/>
        <v>26</v>
      </c>
      <c r="E88" s="472">
        <f t="shared" si="7"/>
        <v>13</v>
      </c>
      <c r="F88" s="472" t="str">
        <f t="shared" si="9"/>
        <v>pm</v>
      </c>
      <c r="G88" s="472" t="s">
        <v>489</v>
      </c>
      <c r="H88" s="472" t="s">
        <v>490</v>
      </c>
      <c r="I88" s="472" t="s">
        <v>490</v>
      </c>
      <c r="K88" s="473">
        <f t="shared" si="8"/>
        <v>1832.6750811792997</v>
      </c>
      <c r="M88" s="473">
        <v>1800</v>
      </c>
      <c r="O88" s="472">
        <v>1832.6750811792997</v>
      </c>
    </row>
    <row r="89" spans="1:15">
      <c r="A89" s="472">
        <v>1</v>
      </c>
      <c r="C89" s="472">
        <f t="shared" si="5"/>
        <v>27</v>
      </c>
      <c r="D89" s="472">
        <f t="shared" si="6"/>
        <v>27</v>
      </c>
      <c r="E89" s="472">
        <f t="shared" si="7"/>
        <v>13</v>
      </c>
      <c r="F89" s="472" t="str">
        <f t="shared" si="9"/>
        <v>crx</v>
      </c>
      <c r="G89" s="472" t="s">
        <v>491</v>
      </c>
      <c r="H89" s="472" t="s">
        <v>492</v>
      </c>
      <c r="I89" s="472" t="s">
        <v>493</v>
      </c>
      <c r="K89" s="473">
        <f t="shared" si="8"/>
        <v>1859.9784106854174</v>
      </c>
      <c r="M89" s="473">
        <v>1800</v>
      </c>
      <c r="O89" s="472">
        <v>1859.9784106854174</v>
      </c>
    </row>
    <row r="90" spans="1:15">
      <c r="A90" s="472">
        <v>5</v>
      </c>
      <c r="C90" s="472">
        <f t="shared" si="5"/>
        <v>28</v>
      </c>
      <c r="D90" s="472">
        <f t="shared" si="6"/>
        <v>28</v>
      </c>
      <c r="E90" s="472">
        <f t="shared" si="7"/>
        <v>13</v>
      </c>
      <c r="F90" s="472" t="str">
        <f t="shared" si="9"/>
        <v>pm</v>
      </c>
      <c r="G90" s="472" t="s">
        <v>494</v>
      </c>
      <c r="H90" s="472" t="s">
        <v>337</v>
      </c>
      <c r="I90" s="472" t="s">
        <v>495</v>
      </c>
      <c r="K90" s="473">
        <f t="shared" si="8"/>
        <v>1754.0671620760272</v>
      </c>
      <c r="M90" s="473">
        <v>1760</v>
      </c>
      <c r="O90" s="472">
        <v>1754.0671620760272</v>
      </c>
    </row>
    <row r="91" spans="1:15">
      <c r="A91" s="472">
        <v>3</v>
      </c>
      <c r="C91" s="472">
        <f t="shared" si="5"/>
        <v>29</v>
      </c>
      <c r="D91" s="472">
        <f t="shared" si="6"/>
        <v>29</v>
      </c>
      <c r="E91" s="472">
        <f t="shared" si="7"/>
        <v>13</v>
      </c>
      <c r="F91" s="472" t="str">
        <f t="shared" si="9"/>
        <v>pm</v>
      </c>
      <c r="G91" s="472" t="s">
        <v>496</v>
      </c>
      <c r="H91" s="472" t="s">
        <v>370</v>
      </c>
      <c r="I91" s="472" t="s">
        <v>497</v>
      </c>
      <c r="K91" s="473">
        <f t="shared" si="8"/>
        <v>1800.3799320591111</v>
      </c>
      <c r="M91" s="473">
        <v>1733.3333333333333</v>
      </c>
      <c r="O91" s="472">
        <v>1800.3799320591111</v>
      </c>
    </row>
    <row r="92" spans="1:15">
      <c r="A92" s="472">
        <v>3</v>
      </c>
      <c r="C92" s="472">
        <f t="shared" si="5"/>
        <v>30</v>
      </c>
      <c r="D92" s="472">
        <f t="shared" si="6"/>
        <v>30</v>
      </c>
      <c r="E92" s="472">
        <f t="shared" si="7"/>
        <v>13</v>
      </c>
      <c r="F92" s="472" t="str">
        <f t="shared" si="9"/>
        <v>pm</v>
      </c>
      <c r="G92" s="472" t="s">
        <v>498</v>
      </c>
      <c r="H92" s="472" t="s">
        <v>154</v>
      </c>
      <c r="I92" s="472" t="s">
        <v>499</v>
      </c>
      <c r="K92" s="473">
        <f t="shared" si="8"/>
        <v>1733.3333333333333</v>
      </c>
      <c r="M92" s="473">
        <v>1733.3333333333333</v>
      </c>
    </row>
    <row r="93" spans="1:15">
      <c r="A93" s="472">
        <v>5</v>
      </c>
      <c r="C93" s="472">
        <f t="shared" si="5"/>
        <v>31</v>
      </c>
      <c r="D93" s="472">
        <f t="shared" si="6"/>
        <v>31</v>
      </c>
      <c r="E93" s="472">
        <f t="shared" si="7"/>
        <v>13</v>
      </c>
      <c r="F93" s="472" t="str">
        <f t="shared" si="9"/>
        <v>pm</v>
      </c>
      <c r="G93" s="472" t="s">
        <v>500</v>
      </c>
      <c r="H93" s="472" t="s">
        <v>501</v>
      </c>
      <c r="I93" s="472" t="s">
        <v>502</v>
      </c>
      <c r="K93" s="473">
        <f t="shared" si="8"/>
        <v>1727.4141373732955</v>
      </c>
      <c r="M93" s="473">
        <v>1680</v>
      </c>
      <c r="O93" s="472">
        <v>1727.4141373732955</v>
      </c>
    </row>
    <row r="94" spans="1:15">
      <c r="A94" s="472">
        <v>5</v>
      </c>
      <c r="C94" s="472">
        <f t="shared" si="5"/>
        <v>32</v>
      </c>
      <c r="D94" s="472">
        <f t="shared" si="6"/>
        <v>32</v>
      </c>
      <c r="E94" s="472">
        <f t="shared" si="7"/>
        <v>13</v>
      </c>
      <c r="F94" s="472" t="str">
        <f t="shared" si="9"/>
        <v>pm</v>
      </c>
      <c r="G94" s="472" t="s">
        <v>503</v>
      </c>
      <c r="H94" s="472" t="s">
        <v>501</v>
      </c>
      <c r="I94" s="472" t="s">
        <v>504</v>
      </c>
      <c r="K94" s="473">
        <f t="shared" si="8"/>
        <v>1638.9266878949168</v>
      </c>
      <c r="M94" s="473">
        <v>1680</v>
      </c>
      <c r="O94" s="472">
        <v>1638.9266878949168</v>
      </c>
    </row>
    <row r="95" spans="1:15">
      <c r="A95" s="472">
        <v>2</v>
      </c>
      <c r="C95" s="472">
        <f t="shared" si="5"/>
        <v>33</v>
      </c>
      <c r="D95" s="472">
        <f t="shared" si="6"/>
        <v>33</v>
      </c>
      <c r="E95" s="472">
        <f t="shared" si="7"/>
        <v>13</v>
      </c>
      <c r="F95" s="472" t="str">
        <f t="shared" si="9"/>
        <v>cr</v>
      </c>
      <c r="G95" s="472" t="s">
        <v>505</v>
      </c>
      <c r="H95" s="472" t="s">
        <v>340</v>
      </c>
      <c r="I95" s="472" t="s">
        <v>506</v>
      </c>
      <c r="K95" s="473">
        <f t="shared" si="8"/>
        <v>1600</v>
      </c>
      <c r="M95" s="473">
        <v>1600</v>
      </c>
    </row>
    <row r="96" spans="1:15">
      <c r="A96" s="472">
        <v>3</v>
      </c>
      <c r="C96" s="472">
        <f t="shared" si="5"/>
        <v>34</v>
      </c>
      <c r="D96" s="472">
        <f t="shared" si="6"/>
        <v>33</v>
      </c>
      <c r="E96" s="472">
        <f t="shared" si="7"/>
        <v>13</v>
      </c>
      <c r="F96" s="472" t="str">
        <f t="shared" si="9"/>
        <v>cr</v>
      </c>
      <c r="G96" s="472" t="s">
        <v>507</v>
      </c>
      <c r="H96" s="472" t="s">
        <v>340</v>
      </c>
      <c r="I96" s="472" t="s">
        <v>508</v>
      </c>
      <c r="K96" s="473">
        <f t="shared" si="8"/>
        <v>1600</v>
      </c>
      <c r="M96" s="473">
        <v>1600</v>
      </c>
    </row>
    <row r="97" spans="1:15">
      <c r="A97" s="472">
        <v>1</v>
      </c>
      <c r="C97" s="472">
        <f t="shared" si="5"/>
        <v>35</v>
      </c>
      <c r="D97" s="472">
        <f t="shared" si="6"/>
        <v>33</v>
      </c>
      <c r="E97" s="472">
        <f t="shared" si="7"/>
        <v>13</v>
      </c>
      <c r="F97" s="472" t="str">
        <f t="shared" si="9"/>
        <v>crx</v>
      </c>
      <c r="G97" s="472" t="s">
        <v>509</v>
      </c>
      <c r="H97" s="472" t="s">
        <v>340</v>
      </c>
      <c r="I97" s="472" t="s">
        <v>510</v>
      </c>
      <c r="K97" s="473">
        <f t="shared" si="8"/>
        <v>1600</v>
      </c>
      <c r="M97" s="473">
        <v>1600</v>
      </c>
    </row>
    <row r="98" spans="1:15">
      <c r="A98" s="472">
        <v>5</v>
      </c>
      <c r="C98" s="472">
        <f t="shared" si="5"/>
        <v>36</v>
      </c>
      <c r="D98" s="472">
        <f t="shared" si="6"/>
        <v>36</v>
      </c>
      <c r="E98" s="472">
        <f t="shared" si="7"/>
        <v>13</v>
      </c>
      <c r="F98" s="472" t="str">
        <f t="shared" si="9"/>
        <v>pm</v>
      </c>
      <c r="G98" s="472" t="s">
        <v>511</v>
      </c>
      <c r="H98" s="472" t="s">
        <v>512</v>
      </c>
      <c r="I98" s="472" t="s">
        <v>513</v>
      </c>
      <c r="K98" s="473">
        <f t="shared" si="8"/>
        <v>1543.1379599637289</v>
      </c>
      <c r="M98" s="473">
        <v>1600</v>
      </c>
      <c r="O98" s="472">
        <v>1543.1379599637289</v>
      </c>
    </row>
    <row r="99" spans="1:15">
      <c r="A99" s="472">
        <v>4</v>
      </c>
      <c r="C99" s="472">
        <f t="shared" si="5"/>
        <v>37</v>
      </c>
      <c r="D99" s="472">
        <f t="shared" si="6"/>
        <v>37</v>
      </c>
      <c r="E99" s="472">
        <f t="shared" si="7"/>
        <v>13</v>
      </c>
      <c r="F99" s="472" t="str">
        <f t="shared" si="9"/>
        <v>pm</v>
      </c>
      <c r="G99" s="472" t="s">
        <v>514</v>
      </c>
      <c r="H99" s="472" t="s">
        <v>370</v>
      </c>
      <c r="I99" s="472" t="s">
        <v>515</v>
      </c>
      <c r="K99" s="473">
        <f t="shared" si="8"/>
        <v>1510.6135428350065</v>
      </c>
      <c r="M99" s="473">
        <v>1600</v>
      </c>
      <c r="O99" s="472">
        <v>1510.6135428350065</v>
      </c>
    </row>
    <row r="100" spans="1:15">
      <c r="A100" s="472">
        <v>3</v>
      </c>
      <c r="C100" s="472">
        <f t="shared" si="5"/>
        <v>38</v>
      </c>
      <c r="D100" s="472">
        <f t="shared" si="6"/>
        <v>38</v>
      </c>
      <c r="E100" s="472">
        <f t="shared" si="7"/>
        <v>13</v>
      </c>
      <c r="F100" s="472" t="str">
        <f t="shared" si="9"/>
        <v>pm</v>
      </c>
      <c r="G100" s="472" t="s">
        <v>516</v>
      </c>
      <c r="H100" s="472" t="s">
        <v>331</v>
      </c>
      <c r="I100" s="472" t="s">
        <v>517</v>
      </c>
      <c r="K100" s="473">
        <f t="shared" si="8"/>
        <v>1640.5992668477998</v>
      </c>
      <c r="M100" s="473">
        <v>1600</v>
      </c>
      <c r="O100" s="472">
        <v>1640.5992668477998</v>
      </c>
    </row>
    <row r="101" spans="1:15">
      <c r="A101" s="472">
        <v>3</v>
      </c>
      <c r="C101" s="472">
        <f t="shared" si="5"/>
        <v>39</v>
      </c>
      <c r="D101" s="472">
        <f t="shared" si="6"/>
        <v>39</v>
      </c>
      <c r="E101" s="472">
        <f t="shared" si="7"/>
        <v>13</v>
      </c>
      <c r="F101" s="472" t="str">
        <f t="shared" si="9"/>
        <v>pm</v>
      </c>
      <c r="G101" s="472" t="s">
        <v>518</v>
      </c>
      <c r="H101" s="472" t="s">
        <v>331</v>
      </c>
      <c r="I101" s="472" t="s">
        <v>519</v>
      </c>
      <c r="K101" s="473">
        <f t="shared" si="8"/>
        <v>1600</v>
      </c>
      <c r="M101" s="473">
        <v>1600</v>
      </c>
    </row>
    <row r="102" spans="1:15">
      <c r="A102" s="472">
        <v>3</v>
      </c>
      <c r="C102" s="472">
        <f t="shared" si="5"/>
        <v>40</v>
      </c>
      <c r="D102" s="472">
        <f t="shared" si="6"/>
        <v>39</v>
      </c>
      <c r="E102" s="472">
        <f t="shared" si="7"/>
        <v>13</v>
      </c>
      <c r="F102" s="472" t="str">
        <f t="shared" si="9"/>
        <v>pm</v>
      </c>
      <c r="G102" s="472" t="s">
        <v>520</v>
      </c>
      <c r="H102" s="472" t="s">
        <v>331</v>
      </c>
      <c r="I102" s="472" t="s">
        <v>521</v>
      </c>
      <c r="K102" s="473">
        <f t="shared" si="8"/>
        <v>1600</v>
      </c>
      <c r="M102" s="473">
        <v>1600</v>
      </c>
    </row>
    <row r="103" spans="1:15">
      <c r="A103" s="472">
        <v>5</v>
      </c>
      <c r="C103" s="472">
        <f t="shared" si="5"/>
        <v>41</v>
      </c>
      <c r="D103" s="472">
        <f t="shared" si="6"/>
        <v>41</v>
      </c>
      <c r="E103" s="472">
        <f t="shared" si="7"/>
        <v>13</v>
      </c>
      <c r="F103" s="472" t="str">
        <f t="shared" si="9"/>
        <v>pm</v>
      </c>
      <c r="G103" s="472" t="s">
        <v>522</v>
      </c>
      <c r="H103" s="472" t="s">
        <v>383</v>
      </c>
      <c r="I103" s="472" t="s">
        <v>523</v>
      </c>
      <c r="K103" s="473">
        <f t="shared" si="8"/>
        <v>1728.897291095632</v>
      </c>
      <c r="M103" s="473">
        <v>1600</v>
      </c>
      <c r="O103" s="472">
        <v>1728.897291095632</v>
      </c>
    </row>
    <row r="104" spans="1:15">
      <c r="A104" s="472">
        <v>6</v>
      </c>
      <c r="C104" s="472">
        <f t="shared" si="5"/>
        <v>42</v>
      </c>
      <c r="D104" s="472">
        <f t="shared" si="6"/>
        <v>42</v>
      </c>
      <c r="E104" s="472">
        <f t="shared" si="7"/>
        <v>13</v>
      </c>
      <c r="F104" s="472" t="str">
        <f t="shared" si="9"/>
        <v>pm</v>
      </c>
      <c r="G104" s="472" t="s">
        <v>524</v>
      </c>
      <c r="H104" s="472" t="s">
        <v>386</v>
      </c>
      <c r="I104" s="472" t="s">
        <v>525</v>
      </c>
      <c r="K104" s="473">
        <f t="shared" si="8"/>
        <v>1625.3262917022503</v>
      </c>
      <c r="M104" s="473">
        <v>1600</v>
      </c>
      <c r="O104" s="472">
        <v>1625.3262917022503</v>
      </c>
    </row>
    <row r="105" spans="1:15">
      <c r="A105" s="472">
        <v>5</v>
      </c>
      <c r="C105" s="472">
        <f t="shared" si="5"/>
        <v>43</v>
      </c>
      <c r="D105" s="472">
        <f t="shared" si="6"/>
        <v>43</v>
      </c>
      <c r="E105" s="472">
        <f t="shared" si="7"/>
        <v>13</v>
      </c>
      <c r="F105" s="472" t="str">
        <f t="shared" si="9"/>
        <v>pm</v>
      </c>
      <c r="G105" s="472" t="s">
        <v>526</v>
      </c>
      <c r="H105" s="472" t="s">
        <v>386</v>
      </c>
      <c r="I105" s="472" t="s">
        <v>527</v>
      </c>
      <c r="K105" s="473">
        <f t="shared" si="8"/>
        <v>1600</v>
      </c>
      <c r="M105" s="473">
        <v>1600</v>
      </c>
    </row>
    <row r="106" spans="1:15">
      <c r="A106" s="472">
        <v>1</v>
      </c>
      <c r="C106" s="472">
        <f t="shared" si="5"/>
        <v>44</v>
      </c>
      <c r="D106" s="472">
        <f t="shared" si="6"/>
        <v>43</v>
      </c>
      <c r="E106" s="472">
        <f t="shared" si="7"/>
        <v>13</v>
      </c>
      <c r="F106" s="472" t="str">
        <f t="shared" si="9"/>
        <v>sox</v>
      </c>
      <c r="G106" s="472" t="s">
        <v>528</v>
      </c>
      <c r="H106" s="472" t="s">
        <v>529</v>
      </c>
      <c r="I106" s="472" t="s">
        <v>530</v>
      </c>
      <c r="K106" s="473">
        <f t="shared" si="8"/>
        <v>1600</v>
      </c>
      <c r="M106" s="473">
        <v>1600</v>
      </c>
    </row>
    <row r="107" spans="1:15">
      <c r="A107" s="472">
        <v>2</v>
      </c>
      <c r="C107" s="472">
        <f t="shared" si="5"/>
        <v>45</v>
      </c>
      <c r="D107" s="472">
        <f t="shared" si="6"/>
        <v>43</v>
      </c>
      <c r="E107" s="472">
        <f t="shared" si="7"/>
        <v>13</v>
      </c>
      <c r="F107" s="472" t="str">
        <f t="shared" si="9"/>
        <v>so</v>
      </c>
      <c r="G107" s="472" t="s">
        <v>531</v>
      </c>
      <c r="H107" s="472" t="s">
        <v>529</v>
      </c>
      <c r="I107" s="472" t="s">
        <v>532</v>
      </c>
      <c r="K107" s="473">
        <f t="shared" si="8"/>
        <v>1600</v>
      </c>
      <c r="M107" s="473">
        <v>1600</v>
      </c>
    </row>
    <row r="108" spans="1:15">
      <c r="A108" s="472">
        <v>5</v>
      </c>
      <c r="C108" s="472">
        <f t="shared" si="5"/>
        <v>46</v>
      </c>
      <c r="D108" s="472">
        <f t="shared" si="6"/>
        <v>46</v>
      </c>
      <c r="E108" s="472">
        <f t="shared" si="7"/>
        <v>13</v>
      </c>
      <c r="F108" s="472" t="str">
        <f t="shared" si="9"/>
        <v>pm</v>
      </c>
      <c r="G108" s="472" t="s">
        <v>533</v>
      </c>
      <c r="H108" s="472" t="s">
        <v>301</v>
      </c>
      <c r="I108" s="472" t="s">
        <v>534</v>
      </c>
      <c r="K108" s="473">
        <f t="shared" si="8"/>
        <v>1605.2989833259981</v>
      </c>
      <c r="M108" s="473">
        <v>1600</v>
      </c>
      <c r="O108" s="472">
        <v>1605.2989833259981</v>
      </c>
    </row>
    <row r="109" spans="1:15">
      <c r="A109" s="472">
        <v>6</v>
      </c>
      <c r="C109" s="472">
        <f t="shared" si="5"/>
        <v>47</v>
      </c>
      <c r="D109" s="472">
        <f t="shared" si="6"/>
        <v>47</v>
      </c>
      <c r="E109" s="472">
        <f t="shared" si="7"/>
        <v>13</v>
      </c>
      <c r="F109" s="472" t="str">
        <f t="shared" si="9"/>
        <v>pm</v>
      </c>
      <c r="G109" s="472" t="s">
        <v>535</v>
      </c>
      <c r="H109" s="472" t="s">
        <v>394</v>
      </c>
      <c r="I109" s="472" t="s">
        <v>536</v>
      </c>
      <c r="K109" s="473">
        <f t="shared" si="8"/>
        <v>1508.2672187375808</v>
      </c>
      <c r="M109" s="473">
        <v>1600</v>
      </c>
      <c r="O109" s="472">
        <v>1508.2672187375808</v>
      </c>
    </row>
    <row r="110" spans="1:15">
      <c r="A110" s="472">
        <v>4</v>
      </c>
      <c r="C110" s="472">
        <f t="shared" si="5"/>
        <v>48</v>
      </c>
      <c r="D110" s="472">
        <f t="shared" si="6"/>
        <v>48</v>
      </c>
      <c r="E110" s="472">
        <f t="shared" si="7"/>
        <v>13</v>
      </c>
      <c r="F110" s="472" t="str">
        <f t="shared" si="9"/>
        <v>pm</v>
      </c>
      <c r="G110" s="472" t="s">
        <v>537</v>
      </c>
      <c r="H110" s="472" t="s">
        <v>397</v>
      </c>
      <c r="I110" s="472" t="s">
        <v>538</v>
      </c>
      <c r="K110" s="473">
        <f t="shared" si="8"/>
        <v>1600</v>
      </c>
      <c r="M110" s="473">
        <v>1600</v>
      </c>
    </row>
    <row r="111" spans="1:15">
      <c r="A111" s="472">
        <v>3</v>
      </c>
      <c r="C111" s="472">
        <f t="shared" si="5"/>
        <v>49</v>
      </c>
      <c r="D111" s="472">
        <f t="shared" si="6"/>
        <v>48</v>
      </c>
      <c r="E111" s="472">
        <f t="shared" si="7"/>
        <v>13</v>
      </c>
      <c r="F111" s="472" t="str">
        <f t="shared" si="9"/>
        <v>pm</v>
      </c>
      <c r="G111" s="472" t="s">
        <v>539</v>
      </c>
      <c r="H111" s="472" t="s">
        <v>540</v>
      </c>
      <c r="I111" s="472" t="s">
        <v>541</v>
      </c>
      <c r="K111" s="473">
        <f t="shared" si="8"/>
        <v>1600</v>
      </c>
      <c r="M111" s="473">
        <v>1600</v>
      </c>
    </row>
    <row r="112" spans="1:15">
      <c r="A112" s="472">
        <v>1</v>
      </c>
      <c r="C112" s="472">
        <f t="shared" si="5"/>
        <v>50</v>
      </c>
      <c r="D112" s="472">
        <f t="shared" si="6"/>
        <v>48</v>
      </c>
      <c r="E112" s="472">
        <f t="shared" si="7"/>
        <v>13</v>
      </c>
      <c r="F112" s="472" t="str">
        <f t="shared" si="9"/>
        <v>sox</v>
      </c>
      <c r="G112" s="472" t="s">
        <v>542</v>
      </c>
      <c r="H112" s="472" t="s">
        <v>543</v>
      </c>
      <c r="I112" s="472" t="s">
        <v>544</v>
      </c>
      <c r="K112" s="473">
        <f t="shared" si="8"/>
        <v>1600</v>
      </c>
      <c r="M112" s="473">
        <v>1600</v>
      </c>
    </row>
    <row r="113" spans="1:15">
      <c r="A113" s="472">
        <v>5</v>
      </c>
      <c r="C113" s="472">
        <f t="shared" si="5"/>
        <v>51</v>
      </c>
      <c r="D113" s="472">
        <f t="shared" si="6"/>
        <v>48</v>
      </c>
      <c r="E113" s="472">
        <f t="shared" si="7"/>
        <v>13</v>
      </c>
      <c r="F113" s="472" t="str">
        <f t="shared" si="9"/>
        <v>pm</v>
      </c>
      <c r="G113" s="472" t="s">
        <v>545</v>
      </c>
      <c r="H113" s="472" t="s">
        <v>402</v>
      </c>
      <c r="I113" s="472" t="s">
        <v>546</v>
      </c>
      <c r="K113" s="473">
        <f t="shared" si="8"/>
        <v>1600</v>
      </c>
      <c r="M113" s="473">
        <v>1600</v>
      </c>
    </row>
    <row r="114" spans="1:15">
      <c r="A114" s="472">
        <v>6</v>
      </c>
      <c r="C114" s="472">
        <f t="shared" si="5"/>
        <v>52</v>
      </c>
      <c r="D114" s="472">
        <f t="shared" si="6"/>
        <v>52</v>
      </c>
      <c r="E114" s="472">
        <f t="shared" si="7"/>
        <v>13</v>
      </c>
      <c r="F114" s="472" t="str">
        <f t="shared" si="9"/>
        <v>pm</v>
      </c>
      <c r="G114" s="472" t="s">
        <v>547</v>
      </c>
      <c r="H114" s="472" t="s">
        <v>421</v>
      </c>
      <c r="I114" s="472" t="s">
        <v>548</v>
      </c>
      <c r="K114" s="473">
        <f t="shared" si="8"/>
        <v>1645.408006056949</v>
      </c>
      <c r="M114" s="473">
        <v>1600</v>
      </c>
      <c r="O114" s="472">
        <v>1645.408006056949</v>
      </c>
    </row>
    <row r="115" spans="1:15">
      <c r="A115" s="472">
        <v>2</v>
      </c>
      <c r="C115" s="472">
        <f t="shared" si="5"/>
        <v>53</v>
      </c>
      <c r="D115" s="472">
        <f t="shared" si="6"/>
        <v>53</v>
      </c>
      <c r="E115" s="472">
        <f t="shared" si="7"/>
        <v>13</v>
      </c>
      <c r="F115" s="472" t="str">
        <f t="shared" si="9"/>
        <v>cr</v>
      </c>
      <c r="G115" s="472" t="s">
        <v>549</v>
      </c>
      <c r="H115" s="472" t="s">
        <v>405</v>
      </c>
      <c r="I115" s="472" t="s">
        <v>550</v>
      </c>
      <c r="K115" s="473">
        <f t="shared" si="8"/>
        <v>1600</v>
      </c>
      <c r="M115" s="473">
        <v>1600</v>
      </c>
    </row>
    <row r="116" spans="1:15">
      <c r="A116" s="472">
        <v>2</v>
      </c>
      <c r="C116" s="472">
        <f t="shared" si="5"/>
        <v>54</v>
      </c>
      <c r="D116" s="472">
        <f t="shared" si="6"/>
        <v>53</v>
      </c>
      <c r="E116" s="472">
        <f t="shared" si="7"/>
        <v>13</v>
      </c>
      <c r="F116" s="472" t="str">
        <f t="shared" si="9"/>
        <v>cr</v>
      </c>
      <c r="G116" s="472" t="s">
        <v>551</v>
      </c>
      <c r="H116" s="472" t="s">
        <v>405</v>
      </c>
      <c r="I116" s="472" t="s">
        <v>552</v>
      </c>
      <c r="K116" s="473">
        <f t="shared" si="8"/>
        <v>1600</v>
      </c>
      <c r="M116" s="473">
        <v>1600</v>
      </c>
    </row>
    <row r="117" spans="1:15">
      <c r="A117" s="472">
        <v>2</v>
      </c>
      <c r="C117" s="472">
        <f t="shared" si="5"/>
        <v>55</v>
      </c>
      <c r="D117" s="472">
        <f t="shared" si="6"/>
        <v>53</v>
      </c>
      <c r="E117" s="472">
        <f t="shared" si="7"/>
        <v>13</v>
      </c>
      <c r="F117" s="472" t="str">
        <f t="shared" si="9"/>
        <v>pm</v>
      </c>
      <c r="G117" s="472" t="s">
        <v>553</v>
      </c>
      <c r="H117" s="472" t="s">
        <v>154</v>
      </c>
      <c r="I117" s="472" t="s">
        <v>554</v>
      </c>
      <c r="K117" s="473">
        <f t="shared" si="8"/>
        <v>1600</v>
      </c>
      <c r="M117" s="473">
        <v>1600</v>
      </c>
    </row>
    <row r="118" spans="1:15">
      <c r="A118" s="472">
        <v>2</v>
      </c>
      <c r="C118" s="472">
        <f t="shared" si="5"/>
        <v>56</v>
      </c>
      <c r="D118" s="472">
        <f t="shared" si="6"/>
        <v>53</v>
      </c>
      <c r="E118" s="472">
        <f t="shared" si="7"/>
        <v>13</v>
      </c>
      <c r="F118" s="472" t="str">
        <f t="shared" si="9"/>
        <v>pm</v>
      </c>
      <c r="G118" s="472" t="s">
        <v>555</v>
      </c>
      <c r="H118" s="472" t="s">
        <v>154</v>
      </c>
      <c r="I118" s="472" t="s">
        <v>556</v>
      </c>
      <c r="K118" s="473">
        <f t="shared" si="8"/>
        <v>1600</v>
      </c>
      <c r="M118" s="473">
        <v>1600</v>
      </c>
    </row>
    <row r="119" spans="1:15">
      <c r="A119" s="472">
        <v>2</v>
      </c>
      <c r="C119" s="472">
        <f t="shared" si="5"/>
        <v>57</v>
      </c>
      <c r="D119" s="472">
        <f t="shared" si="6"/>
        <v>53</v>
      </c>
      <c r="E119" s="472">
        <f t="shared" si="7"/>
        <v>13</v>
      </c>
      <c r="F119" s="472" t="str">
        <f t="shared" si="9"/>
        <v>pm</v>
      </c>
      <c r="G119" s="472" t="s">
        <v>557</v>
      </c>
      <c r="H119" s="472" t="s">
        <v>154</v>
      </c>
      <c r="I119" s="472" t="s">
        <v>558</v>
      </c>
      <c r="K119" s="473">
        <f t="shared" si="8"/>
        <v>1600</v>
      </c>
      <c r="M119" s="473">
        <v>1600</v>
      </c>
    </row>
    <row r="120" spans="1:15">
      <c r="A120" s="472">
        <v>2</v>
      </c>
      <c r="C120" s="472">
        <f t="shared" si="5"/>
        <v>58</v>
      </c>
      <c r="D120" s="472">
        <f t="shared" si="6"/>
        <v>53</v>
      </c>
      <c r="E120" s="472">
        <f t="shared" si="7"/>
        <v>13</v>
      </c>
      <c r="F120" s="472" t="str">
        <f t="shared" si="9"/>
        <v>pm</v>
      </c>
      <c r="G120" s="472" t="s">
        <v>559</v>
      </c>
      <c r="H120" s="472" t="s">
        <v>154</v>
      </c>
      <c r="I120" s="472" t="s">
        <v>560</v>
      </c>
      <c r="K120" s="473">
        <f t="shared" si="8"/>
        <v>1600</v>
      </c>
      <c r="M120" s="473">
        <v>1600</v>
      </c>
    </row>
    <row r="121" spans="1:15">
      <c r="A121" s="472">
        <v>5</v>
      </c>
      <c r="C121" s="472">
        <f t="shared" si="5"/>
        <v>59</v>
      </c>
      <c r="D121" s="472">
        <f t="shared" si="6"/>
        <v>59</v>
      </c>
      <c r="E121" s="472">
        <f t="shared" si="7"/>
        <v>13</v>
      </c>
      <c r="F121" s="472" t="str">
        <f t="shared" si="9"/>
        <v>pm</v>
      </c>
      <c r="G121" s="472" t="s">
        <v>561</v>
      </c>
      <c r="H121" s="472" t="s">
        <v>337</v>
      </c>
      <c r="I121" s="472" t="s">
        <v>562</v>
      </c>
      <c r="K121" s="473">
        <f t="shared" si="8"/>
        <v>1496.0605297120387</v>
      </c>
      <c r="M121" s="473">
        <v>1600</v>
      </c>
      <c r="O121" s="472">
        <v>1496.0605297120387</v>
      </c>
    </row>
    <row r="122" spans="1:15">
      <c r="A122" s="472">
        <v>2</v>
      </c>
      <c r="C122" s="472">
        <f t="shared" si="5"/>
        <v>60</v>
      </c>
      <c r="D122" s="472">
        <f t="shared" si="6"/>
        <v>60</v>
      </c>
      <c r="E122" s="472">
        <f t="shared" si="7"/>
        <v>13</v>
      </c>
      <c r="F122" s="472" t="str">
        <f t="shared" si="9"/>
        <v>pm</v>
      </c>
      <c r="G122" s="472" t="s">
        <v>563</v>
      </c>
      <c r="H122" s="472" t="s">
        <v>564</v>
      </c>
      <c r="I122" s="472" t="s">
        <v>565</v>
      </c>
      <c r="K122" s="473">
        <f t="shared" si="8"/>
        <v>1600</v>
      </c>
      <c r="M122" s="473">
        <v>1600</v>
      </c>
    </row>
    <row r="123" spans="1:15">
      <c r="A123" s="472">
        <v>1</v>
      </c>
      <c r="C123" s="472">
        <f t="shared" si="5"/>
        <v>61</v>
      </c>
      <c r="D123" s="472">
        <f t="shared" si="6"/>
        <v>60</v>
      </c>
      <c r="E123" s="472">
        <f t="shared" si="7"/>
        <v>13</v>
      </c>
      <c r="F123" s="472" t="str">
        <f t="shared" si="9"/>
        <v>sox</v>
      </c>
      <c r="G123" s="472" t="s">
        <v>566</v>
      </c>
      <c r="H123" s="472" t="s">
        <v>430</v>
      </c>
      <c r="I123" s="472" t="s">
        <v>567</v>
      </c>
      <c r="K123" s="473">
        <f t="shared" si="8"/>
        <v>1600</v>
      </c>
      <c r="M123" s="473">
        <v>1600</v>
      </c>
    </row>
    <row r="124" spans="1:15">
      <c r="A124" s="472">
        <v>2</v>
      </c>
      <c r="C124" s="472">
        <f t="shared" si="5"/>
        <v>62</v>
      </c>
      <c r="D124" s="472">
        <f t="shared" si="6"/>
        <v>60</v>
      </c>
      <c r="E124" s="472">
        <f t="shared" si="7"/>
        <v>13</v>
      </c>
      <c r="F124" s="472" t="str">
        <f t="shared" si="9"/>
        <v>so</v>
      </c>
      <c r="G124" s="472" t="s">
        <v>568</v>
      </c>
      <c r="H124" s="472" t="s">
        <v>430</v>
      </c>
      <c r="I124" s="472" t="s">
        <v>569</v>
      </c>
      <c r="K124" s="473">
        <f t="shared" si="8"/>
        <v>1600</v>
      </c>
      <c r="M124" s="473">
        <v>1600</v>
      </c>
    </row>
    <row r="125" spans="1:15">
      <c r="A125" s="472">
        <v>7</v>
      </c>
      <c r="C125" s="472">
        <f t="shared" si="5"/>
        <v>63</v>
      </c>
      <c r="D125" s="472">
        <f t="shared" si="6"/>
        <v>63</v>
      </c>
      <c r="E125" s="472">
        <f t="shared" si="7"/>
        <v>13</v>
      </c>
      <c r="F125" s="472" t="str">
        <f t="shared" si="9"/>
        <v>pm</v>
      </c>
      <c r="G125" s="472" t="s">
        <v>570</v>
      </c>
      <c r="H125" s="472" t="s">
        <v>411</v>
      </c>
      <c r="I125" s="472" t="s">
        <v>571</v>
      </c>
      <c r="K125" s="473">
        <f t="shared" si="8"/>
        <v>1577.4900729060989</v>
      </c>
      <c r="M125" s="473">
        <v>1600</v>
      </c>
      <c r="O125" s="472">
        <v>1577.4900729060989</v>
      </c>
    </row>
    <row r="126" spans="1:15">
      <c r="A126" s="472">
        <v>5</v>
      </c>
      <c r="C126" s="472">
        <f t="shared" si="5"/>
        <v>64</v>
      </c>
      <c r="D126" s="472">
        <f t="shared" si="6"/>
        <v>64</v>
      </c>
      <c r="E126" s="472">
        <f t="shared" si="7"/>
        <v>13</v>
      </c>
      <c r="F126" s="472" t="str">
        <f t="shared" si="9"/>
        <v>pm</v>
      </c>
      <c r="G126" s="472" t="s">
        <v>572</v>
      </c>
      <c r="H126" s="472" t="s">
        <v>86</v>
      </c>
      <c r="I126" s="472" t="s">
        <v>573</v>
      </c>
      <c r="K126" s="473">
        <f t="shared" si="8"/>
        <v>1600</v>
      </c>
      <c r="M126" s="473">
        <v>1600</v>
      </c>
    </row>
    <row r="127" spans="1:15">
      <c r="A127" s="472">
        <v>5</v>
      </c>
      <c r="C127" s="472">
        <f t="shared" si="5"/>
        <v>65</v>
      </c>
      <c r="D127" s="472">
        <f t="shared" si="6"/>
        <v>64</v>
      </c>
      <c r="E127" s="472">
        <f t="shared" si="7"/>
        <v>13</v>
      </c>
      <c r="F127" s="472" t="str">
        <f t="shared" si="9"/>
        <v>pm</v>
      </c>
      <c r="G127" s="472" t="s">
        <v>574</v>
      </c>
      <c r="H127" s="472" t="s">
        <v>86</v>
      </c>
      <c r="I127" s="472" t="s">
        <v>575</v>
      </c>
      <c r="K127" s="473">
        <f t="shared" si="8"/>
        <v>1600</v>
      </c>
      <c r="M127" s="473">
        <v>1600</v>
      </c>
    </row>
    <row r="128" spans="1:15">
      <c r="A128" s="472">
        <v>3</v>
      </c>
      <c r="C128" s="472">
        <f t="shared" si="5"/>
        <v>66</v>
      </c>
      <c r="D128" s="472">
        <f t="shared" si="6"/>
        <v>64</v>
      </c>
      <c r="E128" s="472">
        <f t="shared" si="7"/>
        <v>13</v>
      </c>
      <c r="F128" s="472" t="str">
        <f t="shared" si="9"/>
        <v>pm</v>
      </c>
      <c r="G128" s="472" t="s">
        <v>576</v>
      </c>
      <c r="H128" s="472" t="s">
        <v>416</v>
      </c>
      <c r="I128" s="472" t="s">
        <v>577</v>
      </c>
      <c r="K128" s="473">
        <f t="shared" si="8"/>
        <v>1600</v>
      </c>
      <c r="M128" s="473">
        <v>1600</v>
      </c>
    </row>
    <row r="129" spans="1:14">
      <c r="A129" s="472">
        <v>5</v>
      </c>
      <c r="C129" s="472">
        <f t="shared" si="5"/>
        <v>67</v>
      </c>
      <c r="D129" s="472">
        <f t="shared" si="6"/>
        <v>64</v>
      </c>
      <c r="E129" s="472">
        <f t="shared" si="7"/>
        <v>13</v>
      </c>
      <c r="F129" s="472" t="str">
        <f t="shared" si="9"/>
        <v>pm</v>
      </c>
      <c r="G129" s="472" t="s">
        <v>578</v>
      </c>
      <c r="H129" s="472" t="s">
        <v>579</v>
      </c>
      <c r="I129" s="472" t="s">
        <v>580</v>
      </c>
      <c r="K129" s="473">
        <f t="shared" si="8"/>
        <v>1600</v>
      </c>
      <c r="M129" s="473">
        <v>1600</v>
      </c>
    </row>
    <row r="130" spans="1:14">
      <c r="A130" s="472">
        <v>4</v>
      </c>
      <c r="C130" s="472">
        <f t="shared" ref="C130:C193" si="10">IF(E130=E129,C129+1,1)</f>
        <v>68</v>
      </c>
      <c r="D130" s="472">
        <f t="shared" ref="D130:D193" si="11">IF(K130=K129,D129,C130)</f>
        <v>64</v>
      </c>
      <c r="E130" s="472">
        <f t="shared" ref="E130:E193" si="12">10+VALUE(RIGHT(LEFT(G130,3),1))</f>
        <v>13</v>
      </c>
      <c r="F130" s="472" t="str">
        <f t="shared" si="9"/>
        <v>pm</v>
      </c>
      <c r="G130" s="472" t="s">
        <v>581</v>
      </c>
      <c r="H130" s="472" t="s">
        <v>483</v>
      </c>
      <c r="I130" s="472" t="s">
        <v>582</v>
      </c>
      <c r="K130" s="473">
        <f t="shared" ref="K130:K193" si="13">LOOKUP(1E+100,M130:AC130)</f>
        <v>1600</v>
      </c>
      <c r="M130" s="473">
        <v>1600</v>
      </c>
    </row>
    <row r="131" spans="1:14">
      <c r="A131" s="472">
        <v>4</v>
      </c>
      <c r="C131" s="472">
        <f t="shared" si="10"/>
        <v>69</v>
      </c>
      <c r="D131" s="472">
        <f t="shared" si="11"/>
        <v>64</v>
      </c>
      <c r="E131" s="472">
        <f t="shared" si="12"/>
        <v>13</v>
      </c>
      <c r="F131" s="472" t="str">
        <f t="shared" ref="F131:F194" si="14">RIGHT(G131,2) &amp; IF(A131&lt;2,"x","")</f>
        <v>pm</v>
      </c>
      <c r="G131" s="472" t="s">
        <v>583</v>
      </c>
      <c r="H131" s="472" t="s">
        <v>483</v>
      </c>
      <c r="I131" s="472" t="s">
        <v>584</v>
      </c>
      <c r="K131" s="473">
        <f t="shared" si="13"/>
        <v>1600</v>
      </c>
      <c r="M131" s="473">
        <v>1600</v>
      </c>
    </row>
    <row r="132" spans="1:14">
      <c r="A132" s="472">
        <v>2</v>
      </c>
      <c r="C132" s="472">
        <f t="shared" si="10"/>
        <v>1</v>
      </c>
      <c r="D132" s="472">
        <f t="shared" si="11"/>
        <v>1</v>
      </c>
      <c r="E132" s="472">
        <f t="shared" si="12"/>
        <v>14</v>
      </c>
      <c r="F132" s="472" t="str">
        <f t="shared" si="14"/>
        <v>pm</v>
      </c>
      <c r="G132" s="472" t="s">
        <v>585</v>
      </c>
      <c r="H132" s="472" t="s">
        <v>86</v>
      </c>
      <c r="I132" s="472" t="s">
        <v>586</v>
      </c>
      <c r="K132" s="473">
        <f t="shared" si="13"/>
        <v>2300</v>
      </c>
      <c r="M132" s="473">
        <v>2300</v>
      </c>
    </row>
    <row r="133" spans="1:14">
      <c r="A133" s="472">
        <v>2</v>
      </c>
      <c r="C133" s="472">
        <f t="shared" si="10"/>
        <v>2</v>
      </c>
      <c r="D133" s="472">
        <f t="shared" si="11"/>
        <v>2</v>
      </c>
      <c r="E133" s="472">
        <f t="shared" si="12"/>
        <v>14</v>
      </c>
      <c r="F133" s="472" t="str">
        <f t="shared" si="14"/>
        <v>pm</v>
      </c>
      <c r="G133" s="472" t="s">
        <v>587</v>
      </c>
      <c r="H133" s="472" t="s">
        <v>123</v>
      </c>
      <c r="I133" s="472" t="s">
        <v>588</v>
      </c>
      <c r="K133" s="473">
        <f t="shared" si="13"/>
        <v>2248.7430591333896</v>
      </c>
      <c r="M133" s="473">
        <v>2200</v>
      </c>
      <c r="N133" s="472">
        <v>2248.7430591333896</v>
      </c>
    </row>
    <row r="134" spans="1:14">
      <c r="A134" s="472">
        <v>1</v>
      </c>
      <c r="C134" s="472">
        <f t="shared" si="10"/>
        <v>3</v>
      </c>
      <c r="D134" s="472">
        <f t="shared" si="11"/>
        <v>3</v>
      </c>
      <c r="E134" s="472">
        <f t="shared" si="12"/>
        <v>14</v>
      </c>
      <c r="F134" s="472" t="str">
        <f t="shared" si="14"/>
        <v>sox</v>
      </c>
      <c r="G134" s="472" t="s">
        <v>589</v>
      </c>
      <c r="H134" s="472" t="s">
        <v>590</v>
      </c>
      <c r="I134" s="472" t="s">
        <v>591</v>
      </c>
      <c r="K134" s="473">
        <f t="shared" si="13"/>
        <v>2200</v>
      </c>
      <c r="M134" s="473">
        <v>2200</v>
      </c>
    </row>
    <row r="135" spans="1:14">
      <c r="A135" s="472">
        <v>1</v>
      </c>
      <c r="C135" s="472">
        <f t="shared" si="10"/>
        <v>4</v>
      </c>
      <c r="D135" s="472">
        <f t="shared" si="11"/>
        <v>3</v>
      </c>
      <c r="E135" s="472">
        <f t="shared" si="12"/>
        <v>14</v>
      </c>
      <c r="F135" s="472" t="str">
        <f t="shared" si="14"/>
        <v>sox</v>
      </c>
      <c r="G135" s="472" t="s">
        <v>592</v>
      </c>
      <c r="H135" s="472" t="s">
        <v>351</v>
      </c>
      <c r="I135" s="472" t="s">
        <v>593</v>
      </c>
      <c r="K135" s="473">
        <f t="shared" si="13"/>
        <v>2200</v>
      </c>
      <c r="M135" s="473">
        <v>2200</v>
      </c>
    </row>
    <row r="136" spans="1:14">
      <c r="A136" s="472">
        <v>2</v>
      </c>
      <c r="C136" s="472">
        <f t="shared" si="10"/>
        <v>5</v>
      </c>
      <c r="D136" s="472">
        <f t="shared" si="11"/>
        <v>3</v>
      </c>
      <c r="E136" s="472">
        <f t="shared" si="12"/>
        <v>14</v>
      </c>
      <c r="F136" s="472" t="str">
        <f t="shared" si="14"/>
        <v>cr</v>
      </c>
      <c r="G136" s="472" t="s">
        <v>594</v>
      </c>
      <c r="H136" s="472" t="s">
        <v>340</v>
      </c>
      <c r="I136" s="472" t="s">
        <v>595</v>
      </c>
      <c r="K136" s="473">
        <f t="shared" si="13"/>
        <v>2200</v>
      </c>
      <c r="M136" s="473">
        <v>2200</v>
      </c>
    </row>
    <row r="137" spans="1:14">
      <c r="A137" s="472">
        <v>2</v>
      </c>
      <c r="C137" s="472">
        <f t="shared" si="10"/>
        <v>6</v>
      </c>
      <c r="D137" s="472">
        <f t="shared" si="11"/>
        <v>6</v>
      </c>
      <c r="E137" s="472">
        <f t="shared" si="12"/>
        <v>14</v>
      </c>
      <c r="F137" s="472" t="str">
        <f t="shared" si="14"/>
        <v>pm</v>
      </c>
      <c r="G137" s="472" t="s">
        <v>596</v>
      </c>
      <c r="H137" s="472" t="s">
        <v>370</v>
      </c>
      <c r="I137" s="472" t="s">
        <v>597</v>
      </c>
      <c r="K137" s="473">
        <f t="shared" si="13"/>
        <v>2242.8082264482937</v>
      </c>
      <c r="M137" s="473">
        <v>2200</v>
      </c>
      <c r="N137" s="472">
        <v>2242.8082264482937</v>
      </c>
    </row>
    <row r="138" spans="1:14">
      <c r="A138" s="472">
        <v>2</v>
      </c>
      <c r="C138" s="472">
        <f t="shared" si="10"/>
        <v>7</v>
      </c>
      <c r="D138" s="472">
        <f t="shared" si="11"/>
        <v>7</v>
      </c>
      <c r="E138" s="472">
        <f t="shared" si="12"/>
        <v>14</v>
      </c>
      <c r="F138" s="472" t="str">
        <f t="shared" si="14"/>
        <v>pm</v>
      </c>
      <c r="G138" s="472" t="s">
        <v>598</v>
      </c>
      <c r="H138" s="472" t="s">
        <v>370</v>
      </c>
      <c r="I138" s="472" t="s">
        <v>599</v>
      </c>
      <c r="K138" s="473">
        <f t="shared" si="13"/>
        <v>2148.0572046490697</v>
      </c>
      <c r="M138" s="473">
        <v>2200</v>
      </c>
      <c r="N138" s="472">
        <v>2148.0572046490697</v>
      </c>
    </row>
    <row r="139" spans="1:14">
      <c r="A139" s="472">
        <v>3</v>
      </c>
      <c r="C139" s="472">
        <f t="shared" si="10"/>
        <v>8</v>
      </c>
      <c r="D139" s="472">
        <f t="shared" si="11"/>
        <v>8</v>
      </c>
      <c r="E139" s="472">
        <f t="shared" si="12"/>
        <v>14</v>
      </c>
      <c r="F139" s="472" t="str">
        <f t="shared" si="14"/>
        <v>pm</v>
      </c>
      <c r="G139" s="472" t="s">
        <v>600</v>
      </c>
      <c r="H139" s="472" t="s">
        <v>331</v>
      </c>
      <c r="I139" s="472" t="s">
        <v>601</v>
      </c>
      <c r="K139" s="473">
        <f t="shared" si="13"/>
        <v>2306.5141993458815</v>
      </c>
      <c r="M139" s="473">
        <v>2200</v>
      </c>
      <c r="N139" s="472">
        <v>2306.5141993458815</v>
      </c>
    </row>
    <row r="140" spans="1:14">
      <c r="A140" s="472">
        <v>4</v>
      </c>
      <c r="C140" s="472">
        <f t="shared" si="10"/>
        <v>9</v>
      </c>
      <c r="D140" s="472">
        <f t="shared" si="11"/>
        <v>9</v>
      </c>
      <c r="E140" s="472">
        <f t="shared" si="12"/>
        <v>14</v>
      </c>
      <c r="F140" s="472" t="str">
        <f t="shared" si="14"/>
        <v>pm</v>
      </c>
      <c r="G140" s="472" t="s">
        <v>602</v>
      </c>
      <c r="H140" s="472" t="s">
        <v>331</v>
      </c>
      <c r="I140" s="472" t="s">
        <v>603</v>
      </c>
      <c r="K140" s="473">
        <f t="shared" si="13"/>
        <v>2234.317086556041</v>
      </c>
      <c r="M140" s="473">
        <v>2200</v>
      </c>
      <c r="N140" s="472">
        <v>2234.317086556041</v>
      </c>
    </row>
    <row r="141" spans="1:14">
      <c r="A141" s="472">
        <v>4</v>
      </c>
      <c r="C141" s="472">
        <f t="shared" si="10"/>
        <v>10</v>
      </c>
      <c r="D141" s="472">
        <f t="shared" si="11"/>
        <v>10</v>
      </c>
      <c r="E141" s="472">
        <f t="shared" si="12"/>
        <v>14</v>
      </c>
      <c r="F141" s="472" t="str">
        <f t="shared" si="14"/>
        <v>pm</v>
      </c>
      <c r="G141" s="472" t="s">
        <v>604</v>
      </c>
      <c r="H141" s="472" t="s">
        <v>331</v>
      </c>
      <c r="I141" s="472" t="s">
        <v>605</v>
      </c>
      <c r="K141" s="473">
        <f t="shared" si="13"/>
        <v>2160.6945874992289</v>
      </c>
      <c r="M141" s="473">
        <v>2200</v>
      </c>
      <c r="N141" s="472">
        <v>2160.6945874992289</v>
      </c>
    </row>
    <row r="142" spans="1:14">
      <c r="A142" s="472">
        <v>6</v>
      </c>
      <c r="C142" s="472">
        <f t="shared" si="10"/>
        <v>11</v>
      </c>
      <c r="D142" s="472">
        <f t="shared" si="11"/>
        <v>11</v>
      </c>
      <c r="E142" s="472">
        <f t="shared" si="12"/>
        <v>14</v>
      </c>
      <c r="F142" s="472" t="str">
        <f t="shared" si="14"/>
        <v>pm</v>
      </c>
      <c r="G142" s="472" t="s">
        <v>606</v>
      </c>
      <c r="H142" s="472" t="s">
        <v>386</v>
      </c>
      <c r="I142" s="472" t="s">
        <v>607</v>
      </c>
      <c r="K142" s="473">
        <f t="shared" si="13"/>
        <v>2142.6540778770523</v>
      </c>
      <c r="M142" s="473">
        <v>2200</v>
      </c>
      <c r="N142" s="472">
        <v>2142.6540778770523</v>
      </c>
    </row>
    <row r="143" spans="1:14">
      <c r="A143" s="472">
        <v>1</v>
      </c>
      <c r="C143" s="472">
        <f t="shared" si="10"/>
        <v>12</v>
      </c>
      <c r="D143" s="472">
        <f t="shared" si="11"/>
        <v>12</v>
      </c>
      <c r="E143" s="472">
        <f t="shared" si="12"/>
        <v>14</v>
      </c>
      <c r="F143" s="472" t="str">
        <f t="shared" si="14"/>
        <v>pmx</v>
      </c>
      <c r="G143" s="472" t="s">
        <v>608</v>
      </c>
      <c r="H143" s="472" t="s">
        <v>449</v>
      </c>
      <c r="I143" s="472" t="s">
        <v>609</v>
      </c>
      <c r="K143" s="473">
        <f t="shared" si="13"/>
        <v>2200</v>
      </c>
      <c r="M143" s="473">
        <v>2200</v>
      </c>
    </row>
    <row r="144" spans="1:14">
      <c r="A144" s="472">
        <v>1</v>
      </c>
      <c r="C144" s="472">
        <f t="shared" si="10"/>
        <v>13</v>
      </c>
      <c r="D144" s="472">
        <f t="shared" si="11"/>
        <v>12</v>
      </c>
      <c r="E144" s="472">
        <f t="shared" si="12"/>
        <v>14</v>
      </c>
      <c r="F144" s="472" t="str">
        <f t="shared" si="14"/>
        <v>pmx</v>
      </c>
      <c r="G144" s="472" t="s">
        <v>610</v>
      </c>
      <c r="H144" s="472" t="s">
        <v>449</v>
      </c>
      <c r="I144" s="472" t="s">
        <v>611</v>
      </c>
      <c r="K144" s="473">
        <f t="shared" si="13"/>
        <v>2200</v>
      </c>
      <c r="M144" s="473">
        <v>2200</v>
      </c>
    </row>
    <row r="145" spans="1:14">
      <c r="A145" s="472">
        <v>1</v>
      </c>
      <c r="C145" s="472">
        <f t="shared" si="10"/>
        <v>14</v>
      </c>
      <c r="D145" s="472">
        <f t="shared" si="11"/>
        <v>12</v>
      </c>
      <c r="E145" s="472">
        <f t="shared" si="12"/>
        <v>14</v>
      </c>
      <c r="F145" s="472" t="str">
        <f t="shared" si="14"/>
        <v>crx</v>
      </c>
      <c r="G145" s="472" t="s">
        <v>612</v>
      </c>
      <c r="H145" s="472" t="s">
        <v>613</v>
      </c>
      <c r="I145" s="472" t="s">
        <v>614</v>
      </c>
      <c r="K145" s="473">
        <f t="shared" si="13"/>
        <v>2200</v>
      </c>
      <c r="M145" s="473">
        <v>2200</v>
      </c>
    </row>
    <row r="146" spans="1:14">
      <c r="A146" s="472">
        <v>1</v>
      </c>
      <c r="C146" s="472">
        <f t="shared" si="10"/>
        <v>15</v>
      </c>
      <c r="D146" s="472">
        <f t="shared" si="11"/>
        <v>12</v>
      </c>
      <c r="E146" s="472">
        <f t="shared" si="12"/>
        <v>14</v>
      </c>
      <c r="F146" s="472" t="str">
        <f t="shared" si="14"/>
        <v>crx</v>
      </c>
      <c r="G146" s="472" t="s">
        <v>615</v>
      </c>
      <c r="H146" s="472" t="s">
        <v>613</v>
      </c>
      <c r="I146" s="472" t="s">
        <v>616</v>
      </c>
      <c r="K146" s="473">
        <f t="shared" si="13"/>
        <v>2200</v>
      </c>
      <c r="M146" s="473">
        <v>2200</v>
      </c>
    </row>
    <row r="147" spans="1:14">
      <c r="A147" s="472">
        <v>4</v>
      </c>
      <c r="C147" s="472">
        <f t="shared" si="10"/>
        <v>16</v>
      </c>
      <c r="D147" s="472">
        <f t="shared" si="11"/>
        <v>12</v>
      </c>
      <c r="E147" s="472">
        <f t="shared" si="12"/>
        <v>14</v>
      </c>
      <c r="F147" s="472" t="str">
        <f t="shared" si="14"/>
        <v>pm</v>
      </c>
      <c r="G147" s="472" t="s">
        <v>617</v>
      </c>
      <c r="H147" s="472" t="s">
        <v>397</v>
      </c>
      <c r="I147" s="472" t="s">
        <v>618</v>
      </c>
      <c r="K147" s="473">
        <f t="shared" si="13"/>
        <v>2200</v>
      </c>
      <c r="M147" s="473">
        <v>2200</v>
      </c>
    </row>
    <row r="148" spans="1:14">
      <c r="A148" s="472">
        <v>6</v>
      </c>
      <c r="C148" s="472">
        <f t="shared" si="10"/>
        <v>17</v>
      </c>
      <c r="D148" s="472">
        <f t="shared" si="11"/>
        <v>17</v>
      </c>
      <c r="E148" s="472">
        <f t="shared" si="12"/>
        <v>14</v>
      </c>
      <c r="F148" s="472" t="str">
        <f t="shared" si="14"/>
        <v>pm</v>
      </c>
      <c r="G148" s="472" t="s">
        <v>619</v>
      </c>
      <c r="H148" s="472" t="s">
        <v>421</v>
      </c>
      <c r="I148" s="472" t="s">
        <v>620</v>
      </c>
      <c r="K148" s="473">
        <f t="shared" si="13"/>
        <v>2235.4451064009868</v>
      </c>
      <c r="M148" s="473">
        <v>2200</v>
      </c>
      <c r="N148" s="472">
        <v>2235.4451064009868</v>
      </c>
    </row>
    <row r="149" spans="1:14">
      <c r="A149" s="472">
        <v>5</v>
      </c>
      <c r="C149" s="472">
        <f t="shared" si="10"/>
        <v>18</v>
      </c>
      <c r="D149" s="472">
        <f t="shared" si="11"/>
        <v>18</v>
      </c>
      <c r="E149" s="472">
        <f t="shared" si="12"/>
        <v>14</v>
      </c>
      <c r="F149" s="472" t="str">
        <f t="shared" si="14"/>
        <v>pm</v>
      </c>
      <c r="G149" s="472" t="s">
        <v>621</v>
      </c>
      <c r="H149" s="472" t="s">
        <v>452</v>
      </c>
      <c r="I149" s="472" t="s">
        <v>622</v>
      </c>
      <c r="K149" s="473">
        <f t="shared" si="13"/>
        <v>2158.7277915153195</v>
      </c>
      <c r="M149" s="473">
        <v>2200</v>
      </c>
      <c r="N149" s="472">
        <v>2158.7277915153195</v>
      </c>
    </row>
    <row r="150" spans="1:14">
      <c r="A150" s="472">
        <v>2</v>
      </c>
      <c r="C150" s="472">
        <f t="shared" si="10"/>
        <v>19</v>
      </c>
      <c r="D150" s="472">
        <f t="shared" si="11"/>
        <v>19</v>
      </c>
      <c r="E150" s="472">
        <f t="shared" si="12"/>
        <v>14</v>
      </c>
      <c r="F150" s="472" t="str">
        <f t="shared" si="14"/>
        <v>pm</v>
      </c>
      <c r="G150" s="472" t="s">
        <v>623</v>
      </c>
      <c r="H150" s="472" t="s">
        <v>154</v>
      </c>
      <c r="I150" s="472" t="s">
        <v>624</v>
      </c>
      <c r="K150" s="473">
        <f t="shared" si="13"/>
        <v>2200</v>
      </c>
      <c r="M150" s="473">
        <v>2200</v>
      </c>
    </row>
    <row r="151" spans="1:14">
      <c r="A151" s="472">
        <v>2</v>
      </c>
      <c r="C151" s="472">
        <f t="shared" si="10"/>
        <v>20</v>
      </c>
      <c r="D151" s="472">
        <f t="shared" si="11"/>
        <v>19</v>
      </c>
      <c r="E151" s="472">
        <f t="shared" si="12"/>
        <v>14</v>
      </c>
      <c r="F151" s="472" t="str">
        <f t="shared" si="14"/>
        <v>pm</v>
      </c>
      <c r="G151" s="472" t="s">
        <v>625</v>
      </c>
      <c r="H151" s="472" t="s">
        <v>154</v>
      </c>
      <c r="I151" s="472" t="s">
        <v>626</v>
      </c>
      <c r="K151" s="473">
        <f t="shared" si="13"/>
        <v>2200</v>
      </c>
      <c r="M151" s="473">
        <v>2200</v>
      </c>
    </row>
    <row r="152" spans="1:14">
      <c r="A152" s="472">
        <v>2</v>
      </c>
      <c r="C152" s="472">
        <f t="shared" si="10"/>
        <v>21</v>
      </c>
      <c r="D152" s="472">
        <f t="shared" si="11"/>
        <v>19</v>
      </c>
      <c r="E152" s="472">
        <f t="shared" si="12"/>
        <v>14</v>
      </c>
      <c r="F152" s="472" t="str">
        <f t="shared" si="14"/>
        <v>pm</v>
      </c>
      <c r="G152" s="472" t="s">
        <v>627</v>
      </c>
      <c r="H152" s="472" t="s">
        <v>154</v>
      </c>
      <c r="I152" s="472" t="s">
        <v>628</v>
      </c>
      <c r="K152" s="473">
        <f t="shared" si="13"/>
        <v>2200</v>
      </c>
      <c r="M152" s="473">
        <v>2200</v>
      </c>
    </row>
    <row r="153" spans="1:14">
      <c r="A153" s="472">
        <v>1</v>
      </c>
      <c r="C153" s="472">
        <f t="shared" si="10"/>
        <v>22</v>
      </c>
      <c r="D153" s="472">
        <f t="shared" si="11"/>
        <v>19</v>
      </c>
      <c r="E153" s="472">
        <f t="shared" si="12"/>
        <v>14</v>
      </c>
      <c r="F153" s="472" t="str">
        <f t="shared" si="14"/>
        <v>sox</v>
      </c>
      <c r="G153" s="472" t="s">
        <v>629</v>
      </c>
      <c r="H153" s="472" t="s">
        <v>630</v>
      </c>
      <c r="I153" s="472" t="s">
        <v>631</v>
      </c>
      <c r="K153" s="473">
        <f t="shared" si="13"/>
        <v>2200</v>
      </c>
      <c r="M153" s="473">
        <v>2200</v>
      </c>
    </row>
    <row r="154" spans="1:14">
      <c r="A154" s="472">
        <v>1</v>
      </c>
      <c r="C154" s="472">
        <f t="shared" si="10"/>
        <v>23</v>
      </c>
      <c r="D154" s="472">
        <f t="shared" si="11"/>
        <v>19</v>
      </c>
      <c r="E154" s="472">
        <f t="shared" si="12"/>
        <v>14</v>
      </c>
      <c r="F154" s="472" t="str">
        <f t="shared" si="14"/>
        <v>sox</v>
      </c>
      <c r="G154" s="472" t="s">
        <v>632</v>
      </c>
      <c r="H154" s="472" t="s">
        <v>430</v>
      </c>
      <c r="I154" s="472" t="s">
        <v>633</v>
      </c>
      <c r="K154" s="473">
        <f t="shared" si="13"/>
        <v>2200</v>
      </c>
      <c r="M154" s="473">
        <v>2200</v>
      </c>
    </row>
    <row r="155" spans="1:14">
      <c r="A155" s="472">
        <v>1</v>
      </c>
      <c r="C155" s="472">
        <f t="shared" si="10"/>
        <v>24</v>
      </c>
      <c r="D155" s="472">
        <f t="shared" si="11"/>
        <v>19</v>
      </c>
      <c r="E155" s="472">
        <f t="shared" si="12"/>
        <v>14</v>
      </c>
      <c r="F155" s="472" t="str">
        <f t="shared" si="14"/>
        <v>odx</v>
      </c>
      <c r="G155" s="472" t="s">
        <v>634</v>
      </c>
      <c r="H155" s="472" t="s">
        <v>635</v>
      </c>
      <c r="I155" s="472" t="s">
        <v>636</v>
      </c>
      <c r="K155" s="473">
        <f t="shared" si="13"/>
        <v>2200</v>
      </c>
      <c r="M155" s="473">
        <v>2200</v>
      </c>
    </row>
    <row r="156" spans="1:14">
      <c r="A156" s="472">
        <v>3</v>
      </c>
      <c r="C156" s="472">
        <f t="shared" si="10"/>
        <v>25</v>
      </c>
      <c r="D156" s="472">
        <f t="shared" si="11"/>
        <v>25</v>
      </c>
      <c r="E156" s="472">
        <f t="shared" si="12"/>
        <v>14</v>
      </c>
      <c r="F156" s="472" t="str">
        <f t="shared" si="14"/>
        <v>pm</v>
      </c>
      <c r="G156" s="472" t="s">
        <v>637</v>
      </c>
      <c r="H156" s="472" t="s">
        <v>501</v>
      </c>
      <c r="I156" s="472" t="s">
        <v>638</v>
      </c>
      <c r="K156" s="473">
        <f t="shared" si="13"/>
        <v>2089.6484920282369</v>
      </c>
      <c r="M156" s="473">
        <v>2200</v>
      </c>
      <c r="N156" s="472">
        <v>2089.6484920282369</v>
      </c>
    </row>
    <row r="157" spans="1:14">
      <c r="A157" s="472">
        <v>3</v>
      </c>
      <c r="C157" s="472">
        <f t="shared" si="10"/>
        <v>26</v>
      </c>
      <c r="D157" s="472">
        <f t="shared" si="11"/>
        <v>26</v>
      </c>
      <c r="E157" s="472">
        <f t="shared" si="12"/>
        <v>14</v>
      </c>
      <c r="F157" s="472" t="str">
        <f t="shared" si="14"/>
        <v>pm</v>
      </c>
      <c r="G157" s="472" t="s">
        <v>639</v>
      </c>
      <c r="H157" s="472" t="s">
        <v>408</v>
      </c>
      <c r="I157" s="472" t="s">
        <v>640</v>
      </c>
      <c r="K157" s="473">
        <f t="shared" si="13"/>
        <v>2200</v>
      </c>
      <c r="M157" s="473">
        <v>2200</v>
      </c>
    </row>
    <row r="158" spans="1:14">
      <c r="A158" s="472">
        <v>7</v>
      </c>
      <c r="C158" s="472">
        <f t="shared" si="10"/>
        <v>27</v>
      </c>
      <c r="D158" s="472">
        <f t="shared" si="11"/>
        <v>27</v>
      </c>
      <c r="E158" s="472">
        <f t="shared" si="12"/>
        <v>14</v>
      </c>
      <c r="F158" s="472" t="str">
        <f t="shared" si="14"/>
        <v>pm</v>
      </c>
      <c r="G158" s="472" t="s">
        <v>641</v>
      </c>
      <c r="H158" s="472" t="s">
        <v>411</v>
      </c>
      <c r="I158" s="472" t="s">
        <v>642</v>
      </c>
      <c r="K158" s="473">
        <f t="shared" si="13"/>
        <v>2083.9994997349372</v>
      </c>
      <c r="M158" s="473">
        <v>2200</v>
      </c>
      <c r="N158" s="472">
        <v>2083.9994997349372</v>
      </c>
    </row>
    <row r="159" spans="1:14">
      <c r="A159" s="472">
        <v>4</v>
      </c>
      <c r="C159" s="472">
        <f t="shared" si="10"/>
        <v>28</v>
      </c>
      <c r="D159" s="472">
        <f t="shared" si="11"/>
        <v>28</v>
      </c>
      <c r="E159" s="472">
        <f t="shared" si="12"/>
        <v>14</v>
      </c>
      <c r="F159" s="472" t="str">
        <f t="shared" si="14"/>
        <v>pm</v>
      </c>
      <c r="G159" s="472" t="s">
        <v>643</v>
      </c>
      <c r="H159" s="472" t="s">
        <v>86</v>
      </c>
      <c r="I159" s="472" t="s">
        <v>644</v>
      </c>
      <c r="K159" s="473">
        <f t="shared" si="13"/>
        <v>2200</v>
      </c>
      <c r="M159" s="473">
        <v>2200</v>
      </c>
    </row>
    <row r="160" spans="1:14">
      <c r="A160" s="472">
        <v>1</v>
      </c>
      <c r="C160" s="472">
        <f t="shared" si="10"/>
        <v>29</v>
      </c>
      <c r="D160" s="472">
        <f t="shared" si="11"/>
        <v>28</v>
      </c>
      <c r="E160" s="472">
        <f t="shared" si="12"/>
        <v>14</v>
      </c>
      <c r="F160" s="472" t="str">
        <f t="shared" si="14"/>
        <v>crx</v>
      </c>
      <c r="G160" s="472" t="s">
        <v>645</v>
      </c>
      <c r="H160" s="472" t="s">
        <v>470</v>
      </c>
      <c r="I160" s="472" t="s">
        <v>646</v>
      </c>
      <c r="K160" s="473">
        <f t="shared" si="13"/>
        <v>2200</v>
      </c>
      <c r="M160" s="473">
        <v>2200</v>
      </c>
    </row>
    <row r="161" spans="1:15">
      <c r="A161" s="472">
        <v>1</v>
      </c>
      <c r="C161" s="472">
        <f t="shared" si="10"/>
        <v>30</v>
      </c>
      <c r="D161" s="472">
        <f t="shared" si="11"/>
        <v>28</v>
      </c>
      <c r="E161" s="472">
        <f t="shared" si="12"/>
        <v>14</v>
      </c>
      <c r="F161" s="472" t="str">
        <f t="shared" si="14"/>
        <v>crx</v>
      </c>
      <c r="G161" s="472" t="s">
        <v>647</v>
      </c>
      <c r="H161" s="472" t="s">
        <v>470</v>
      </c>
      <c r="I161" s="472" t="s">
        <v>648</v>
      </c>
      <c r="K161" s="473">
        <f t="shared" si="13"/>
        <v>2200</v>
      </c>
      <c r="M161" s="473">
        <v>2200</v>
      </c>
    </row>
    <row r="162" spans="1:15">
      <c r="A162" s="472">
        <v>1</v>
      </c>
      <c r="C162" s="472">
        <f t="shared" si="10"/>
        <v>31</v>
      </c>
      <c r="D162" s="472">
        <f t="shared" si="11"/>
        <v>28</v>
      </c>
      <c r="E162" s="472">
        <f t="shared" si="12"/>
        <v>14</v>
      </c>
      <c r="F162" s="472" t="str">
        <f t="shared" si="14"/>
        <v>pmx</v>
      </c>
      <c r="G162" s="472" t="s">
        <v>649</v>
      </c>
      <c r="H162" s="472" t="s">
        <v>416</v>
      </c>
      <c r="I162" s="472" t="s">
        <v>650</v>
      </c>
      <c r="K162" s="473">
        <f t="shared" si="13"/>
        <v>2200</v>
      </c>
      <c r="M162" s="473">
        <v>2200</v>
      </c>
    </row>
    <row r="163" spans="1:15">
      <c r="A163" s="472">
        <v>1</v>
      </c>
      <c r="C163" s="472">
        <f t="shared" si="10"/>
        <v>32</v>
      </c>
      <c r="D163" s="472">
        <f t="shared" si="11"/>
        <v>28</v>
      </c>
      <c r="E163" s="472">
        <f t="shared" si="12"/>
        <v>14</v>
      </c>
      <c r="F163" s="472" t="str">
        <f t="shared" si="14"/>
        <v>crx</v>
      </c>
      <c r="G163" s="472" t="s">
        <v>651</v>
      </c>
      <c r="H163" s="472" t="s">
        <v>139</v>
      </c>
      <c r="I163" s="472" t="s">
        <v>652</v>
      </c>
      <c r="K163" s="473">
        <f t="shared" si="13"/>
        <v>2200</v>
      </c>
      <c r="M163" s="473">
        <v>2200</v>
      </c>
    </row>
    <row r="164" spans="1:15">
      <c r="A164" s="472">
        <v>4</v>
      </c>
      <c r="C164" s="472">
        <f t="shared" si="10"/>
        <v>33</v>
      </c>
      <c r="D164" s="472">
        <f t="shared" si="11"/>
        <v>33</v>
      </c>
      <c r="E164" s="472">
        <f t="shared" si="12"/>
        <v>14</v>
      </c>
      <c r="F164" s="472" t="str">
        <f t="shared" si="14"/>
        <v>pm</v>
      </c>
      <c r="G164" s="472" t="s">
        <v>653</v>
      </c>
      <c r="H164" s="472" t="s">
        <v>654</v>
      </c>
      <c r="I164" s="472" t="s">
        <v>655</v>
      </c>
      <c r="K164" s="473">
        <f t="shared" si="13"/>
        <v>2154.4080062376902</v>
      </c>
      <c r="M164" s="473">
        <v>2200</v>
      </c>
      <c r="N164" s="472">
        <v>2154.4080062376902</v>
      </c>
    </row>
    <row r="165" spans="1:15">
      <c r="A165" s="472">
        <v>1</v>
      </c>
      <c r="C165" s="472">
        <f t="shared" si="10"/>
        <v>34</v>
      </c>
      <c r="D165" s="472">
        <f t="shared" si="11"/>
        <v>34</v>
      </c>
      <c r="E165" s="472">
        <f t="shared" si="12"/>
        <v>14</v>
      </c>
      <c r="F165" s="472" t="str">
        <f t="shared" si="14"/>
        <v>pmx</v>
      </c>
      <c r="G165" s="472" t="s">
        <v>656</v>
      </c>
      <c r="H165" s="472" t="s">
        <v>346</v>
      </c>
      <c r="I165" s="472" t="s">
        <v>657</v>
      </c>
      <c r="K165" s="473">
        <f t="shared" si="13"/>
        <v>2200</v>
      </c>
      <c r="M165" s="473">
        <v>2200</v>
      </c>
    </row>
    <row r="166" spans="1:15">
      <c r="A166" s="472">
        <v>3</v>
      </c>
      <c r="C166" s="472">
        <f t="shared" si="10"/>
        <v>35</v>
      </c>
      <c r="D166" s="472">
        <f t="shared" si="11"/>
        <v>34</v>
      </c>
      <c r="E166" s="472">
        <f t="shared" si="12"/>
        <v>14</v>
      </c>
      <c r="F166" s="472" t="str">
        <f t="shared" si="14"/>
        <v>pm</v>
      </c>
      <c r="G166" s="472" t="s">
        <v>658</v>
      </c>
      <c r="H166" s="472" t="s">
        <v>483</v>
      </c>
      <c r="I166" s="472" t="s">
        <v>659</v>
      </c>
      <c r="K166" s="473">
        <f t="shared" si="13"/>
        <v>2200</v>
      </c>
      <c r="M166" s="473">
        <v>2200</v>
      </c>
    </row>
    <row r="167" spans="1:15">
      <c r="A167" s="472">
        <v>4</v>
      </c>
      <c r="C167" s="472">
        <f t="shared" si="10"/>
        <v>36</v>
      </c>
      <c r="D167" s="472">
        <f t="shared" si="11"/>
        <v>36</v>
      </c>
      <c r="E167" s="472">
        <f t="shared" si="12"/>
        <v>14</v>
      </c>
      <c r="F167" s="472" t="str">
        <f t="shared" si="14"/>
        <v>pm</v>
      </c>
      <c r="G167" s="472" t="s">
        <v>660</v>
      </c>
      <c r="H167" s="472" t="s">
        <v>92</v>
      </c>
      <c r="I167" s="472" t="s">
        <v>661</v>
      </c>
      <c r="K167" s="473">
        <f t="shared" si="13"/>
        <v>2150</v>
      </c>
      <c r="M167" s="473">
        <v>2150</v>
      </c>
    </row>
    <row r="168" spans="1:15">
      <c r="A168" s="472">
        <v>6</v>
      </c>
      <c r="C168" s="472">
        <f t="shared" si="10"/>
        <v>37</v>
      </c>
      <c r="D168" s="472">
        <f t="shared" si="11"/>
        <v>37</v>
      </c>
      <c r="E168" s="472">
        <f t="shared" si="12"/>
        <v>14</v>
      </c>
      <c r="F168" s="472" t="str">
        <f t="shared" si="14"/>
        <v>pm</v>
      </c>
      <c r="G168" s="472" t="s">
        <v>662</v>
      </c>
      <c r="H168" s="472" t="s">
        <v>512</v>
      </c>
      <c r="I168" s="472" t="s">
        <v>663</v>
      </c>
      <c r="K168" s="473">
        <f t="shared" si="13"/>
        <v>2016.8195230308613</v>
      </c>
      <c r="M168" s="473">
        <v>2133.3333333333335</v>
      </c>
      <c r="N168" s="472">
        <v>2016.8195230308613</v>
      </c>
    </row>
    <row r="169" spans="1:15">
      <c r="A169" s="472">
        <v>4</v>
      </c>
      <c r="C169" s="472">
        <f t="shared" si="10"/>
        <v>38</v>
      </c>
      <c r="D169" s="472">
        <f t="shared" si="11"/>
        <v>38</v>
      </c>
      <c r="E169" s="472">
        <f t="shared" si="12"/>
        <v>14</v>
      </c>
      <c r="F169" s="472" t="str">
        <f t="shared" si="14"/>
        <v>pm</v>
      </c>
      <c r="G169" s="472" t="s">
        <v>664</v>
      </c>
      <c r="H169" s="472" t="s">
        <v>92</v>
      </c>
      <c r="I169" s="472" t="s">
        <v>665</v>
      </c>
      <c r="K169" s="473">
        <f t="shared" si="13"/>
        <v>2100</v>
      </c>
      <c r="M169" s="473">
        <v>2100</v>
      </c>
    </row>
    <row r="170" spans="1:15">
      <c r="A170" s="472">
        <v>3</v>
      </c>
      <c r="C170" s="472">
        <f t="shared" si="10"/>
        <v>39</v>
      </c>
      <c r="D170" s="472">
        <f t="shared" si="11"/>
        <v>39</v>
      </c>
      <c r="E170" s="472">
        <f t="shared" si="12"/>
        <v>14</v>
      </c>
      <c r="F170" s="472" t="str">
        <f t="shared" si="14"/>
        <v>pm</v>
      </c>
      <c r="G170" s="472" t="s">
        <v>666</v>
      </c>
      <c r="H170" s="472" t="s">
        <v>540</v>
      </c>
      <c r="I170" s="472" t="s">
        <v>667</v>
      </c>
      <c r="K170" s="473">
        <f t="shared" si="13"/>
        <v>2066.6666666666665</v>
      </c>
      <c r="M170" s="473">
        <v>2066.6666666666665</v>
      </c>
    </row>
    <row r="171" spans="1:15">
      <c r="A171" s="472">
        <v>3</v>
      </c>
      <c r="C171" s="472">
        <f t="shared" si="10"/>
        <v>40</v>
      </c>
      <c r="D171" s="472">
        <f t="shared" si="11"/>
        <v>40</v>
      </c>
      <c r="E171" s="472">
        <f t="shared" si="12"/>
        <v>14</v>
      </c>
      <c r="F171" s="472" t="str">
        <f t="shared" si="14"/>
        <v>pm</v>
      </c>
      <c r="G171" s="472" t="s">
        <v>668</v>
      </c>
      <c r="H171" s="472" t="s">
        <v>564</v>
      </c>
      <c r="I171" s="472" t="s">
        <v>669</v>
      </c>
      <c r="K171" s="473">
        <f t="shared" si="13"/>
        <v>2073.7324729018796</v>
      </c>
      <c r="M171" s="473">
        <v>2066.6666666666665</v>
      </c>
      <c r="N171" s="472">
        <v>2073.7324729018796</v>
      </c>
    </row>
    <row r="172" spans="1:15">
      <c r="A172" s="472">
        <v>5</v>
      </c>
      <c r="C172" s="472">
        <f t="shared" si="10"/>
        <v>41</v>
      </c>
      <c r="D172" s="472">
        <f t="shared" si="11"/>
        <v>41</v>
      </c>
      <c r="E172" s="472">
        <f t="shared" si="12"/>
        <v>14</v>
      </c>
      <c r="F172" s="472" t="str">
        <f t="shared" si="14"/>
        <v>pm</v>
      </c>
      <c r="G172" s="472" t="s">
        <v>670</v>
      </c>
      <c r="H172" s="472" t="s">
        <v>671</v>
      </c>
      <c r="I172" s="472" t="s">
        <v>672</v>
      </c>
      <c r="K172" s="473">
        <f t="shared" si="13"/>
        <v>2101.1206501618371</v>
      </c>
      <c r="M172" s="473">
        <v>2040</v>
      </c>
      <c r="O172" s="472">
        <v>2101.1206501618371</v>
      </c>
    </row>
    <row r="173" spans="1:15">
      <c r="A173" s="472">
        <v>5</v>
      </c>
      <c r="C173" s="472">
        <f t="shared" si="10"/>
        <v>42</v>
      </c>
      <c r="D173" s="472">
        <f t="shared" si="11"/>
        <v>42</v>
      </c>
      <c r="E173" s="472">
        <f t="shared" si="12"/>
        <v>14</v>
      </c>
      <c r="F173" s="472" t="str">
        <f t="shared" si="14"/>
        <v>pm</v>
      </c>
      <c r="G173" s="472" t="s">
        <v>673</v>
      </c>
      <c r="H173" s="472" t="s">
        <v>337</v>
      </c>
      <c r="I173" s="472" t="s">
        <v>674</v>
      </c>
      <c r="K173" s="473">
        <f t="shared" si="13"/>
        <v>1886.14355440141</v>
      </c>
      <c r="M173" s="473">
        <v>1960</v>
      </c>
      <c r="O173" s="472">
        <v>1886.14355440141</v>
      </c>
    </row>
    <row r="174" spans="1:15">
      <c r="A174" s="472">
        <v>4</v>
      </c>
      <c r="C174" s="472">
        <f t="shared" si="10"/>
        <v>43</v>
      </c>
      <c r="D174" s="472">
        <f t="shared" si="11"/>
        <v>43</v>
      </c>
      <c r="E174" s="472">
        <f t="shared" si="12"/>
        <v>14</v>
      </c>
      <c r="F174" s="472" t="str">
        <f t="shared" si="14"/>
        <v>pm</v>
      </c>
      <c r="G174" s="472" t="s">
        <v>675</v>
      </c>
      <c r="H174" s="472" t="s">
        <v>676</v>
      </c>
      <c r="I174" s="472" t="s">
        <v>677</v>
      </c>
      <c r="K174" s="473">
        <f t="shared" si="13"/>
        <v>1775.3296572886447</v>
      </c>
      <c r="M174" s="473">
        <v>1900</v>
      </c>
      <c r="O174" s="472">
        <v>1775.3296572886447</v>
      </c>
    </row>
    <row r="175" spans="1:15">
      <c r="A175" s="472">
        <v>4</v>
      </c>
      <c r="C175" s="472">
        <f t="shared" si="10"/>
        <v>44</v>
      </c>
      <c r="D175" s="472">
        <f t="shared" si="11"/>
        <v>44</v>
      </c>
      <c r="E175" s="472">
        <f t="shared" si="12"/>
        <v>14</v>
      </c>
      <c r="F175" s="472" t="str">
        <f t="shared" si="14"/>
        <v>pm</v>
      </c>
      <c r="G175" s="472" t="s">
        <v>678</v>
      </c>
      <c r="H175" s="472" t="s">
        <v>654</v>
      </c>
      <c r="I175" s="472" t="s">
        <v>679</v>
      </c>
      <c r="K175" s="473">
        <f t="shared" si="13"/>
        <v>1765.044575923863</v>
      </c>
      <c r="M175" s="473">
        <v>1900</v>
      </c>
      <c r="O175" s="472">
        <v>1765.044575923863</v>
      </c>
    </row>
    <row r="176" spans="1:15">
      <c r="A176" s="472">
        <v>5</v>
      </c>
      <c r="C176" s="472">
        <f t="shared" si="10"/>
        <v>45</v>
      </c>
      <c r="D176" s="472">
        <f t="shared" si="11"/>
        <v>45</v>
      </c>
      <c r="E176" s="472">
        <f t="shared" si="12"/>
        <v>14</v>
      </c>
      <c r="F176" s="472" t="str">
        <f t="shared" si="14"/>
        <v>pm</v>
      </c>
      <c r="G176" s="472" t="s">
        <v>680</v>
      </c>
      <c r="H176" s="472" t="s">
        <v>671</v>
      </c>
      <c r="I176" s="472" t="s">
        <v>681</v>
      </c>
      <c r="K176" s="473">
        <f t="shared" si="13"/>
        <v>1878.0109264586404</v>
      </c>
      <c r="M176" s="473">
        <v>1800</v>
      </c>
      <c r="O176" s="472">
        <v>1878.0109264586404</v>
      </c>
    </row>
    <row r="177" spans="1:15">
      <c r="A177" s="472">
        <v>3</v>
      </c>
      <c r="C177" s="472">
        <f t="shared" si="10"/>
        <v>46</v>
      </c>
      <c r="D177" s="472">
        <f t="shared" si="11"/>
        <v>46</v>
      </c>
      <c r="E177" s="472">
        <f t="shared" si="12"/>
        <v>14</v>
      </c>
      <c r="F177" s="472" t="str">
        <f t="shared" si="14"/>
        <v>cr</v>
      </c>
      <c r="G177" s="472" t="s">
        <v>682</v>
      </c>
      <c r="H177" s="472" t="s">
        <v>340</v>
      </c>
      <c r="I177" s="472" t="s">
        <v>683</v>
      </c>
      <c r="K177" s="473">
        <f t="shared" si="13"/>
        <v>1800</v>
      </c>
      <c r="M177" s="473">
        <v>1800</v>
      </c>
    </row>
    <row r="178" spans="1:15">
      <c r="A178" s="472">
        <v>3</v>
      </c>
      <c r="C178" s="472">
        <f t="shared" si="10"/>
        <v>47</v>
      </c>
      <c r="D178" s="472">
        <f t="shared" si="11"/>
        <v>46</v>
      </c>
      <c r="E178" s="472">
        <f t="shared" si="12"/>
        <v>14</v>
      </c>
      <c r="F178" s="472" t="str">
        <f t="shared" si="14"/>
        <v>cr</v>
      </c>
      <c r="G178" s="472" t="s">
        <v>684</v>
      </c>
      <c r="H178" s="472" t="s">
        <v>340</v>
      </c>
      <c r="I178" s="472" t="s">
        <v>685</v>
      </c>
      <c r="K178" s="473">
        <f t="shared" si="13"/>
        <v>1800</v>
      </c>
      <c r="M178" s="473">
        <v>1800</v>
      </c>
    </row>
    <row r="179" spans="1:15">
      <c r="A179" s="472">
        <v>5</v>
      </c>
      <c r="C179" s="472">
        <f t="shared" si="10"/>
        <v>48</v>
      </c>
      <c r="D179" s="472">
        <f t="shared" si="11"/>
        <v>48</v>
      </c>
      <c r="E179" s="472">
        <f t="shared" si="12"/>
        <v>14</v>
      </c>
      <c r="F179" s="472" t="str">
        <f t="shared" si="14"/>
        <v>pm</v>
      </c>
      <c r="G179" s="472" t="s">
        <v>686</v>
      </c>
      <c r="H179" s="472" t="s">
        <v>687</v>
      </c>
      <c r="I179" s="472" t="s">
        <v>688</v>
      </c>
      <c r="K179" s="473">
        <f t="shared" si="13"/>
        <v>1721.0193954660247</v>
      </c>
      <c r="M179" s="473">
        <v>1800</v>
      </c>
      <c r="O179" s="472">
        <v>1721.0193954660247</v>
      </c>
    </row>
    <row r="180" spans="1:15">
      <c r="A180" s="472">
        <v>1</v>
      </c>
      <c r="C180" s="472">
        <f t="shared" si="10"/>
        <v>49</v>
      </c>
      <c r="D180" s="472">
        <f t="shared" si="11"/>
        <v>49</v>
      </c>
      <c r="E180" s="472">
        <f t="shared" si="12"/>
        <v>14</v>
      </c>
      <c r="F180" s="472" t="str">
        <f t="shared" si="14"/>
        <v>pmx</v>
      </c>
      <c r="G180" s="472" t="s">
        <v>689</v>
      </c>
      <c r="H180" s="472" t="s">
        <v>343</v>
      </c>
      <c r="I180" s="472" t="s">
        <v>690</v>
      </c>
      <c r="K180" s="473">
        <f t="shared" si="13"/>
        <v>1807.2359598554788</v>
      </c>
      <c r="M180" s="473">
        <v>1800</v>
      </c>
      <c r="O180" s="472">
        <v>1807.2359598554788</v>
      </c>
    </row>
    <row r="181" spans="1:15">
      <c r="A181" s="472">
        <v>4</v>
      </c>
      <c r="C181" s="472">
        <f t="shared" si="10"/>
        <v>50</v>
      </c>
      <c r="D181" s="472">
        <f t="shared" si="11"/>
        <v>50</v>
      </c>
      <c r="E181" s="472">
        <f t="shared" si="12"/>
        <v>14</v>
      </c>
      <c r="F181" s="472" t="str">
        <f t="shared" si="14"/>
        <v>pm</v>
      </c>
      <c r="G181" s="472" t="s">
        <v>691</v>
      </c>
      <c r="H181" s="472" t="s">
        <v>370</v>
      </c>
      <c r="I181" s="472" t="s">
        <v>692</v>
      </c>
      <c r="K181" s="473">
        <f t="shared" si="13"/>
        <v>1831.2865495431645</v>
      </c>
      <c r="M181" s="473">
        <v>1800</v>
      </c>
      <c r="O181" s="472">
        <v>1831.2865495431645</v>
      </c>
    </row>
    <row r="182" spans="1:15">
      <c r="A182" s="472">
        <v>1</v>
      </c>
      <c r="C182" s="472">
        <f t="shared" si="10"/>
        <v>51</v>
      </c>
      <c r="D182" s="472">
        <f t="shared" si="11"/>
        <v>51</v>
      </c>
      <c r="E182" s="472">
        <f t="shared" si="12"/>
        <v>14</v>
      </c>
      <c r="F182" s="472" t="str">
        <f t="shared" si="14"/>
        <v>crx</v>
      </c>
      <c r="G182" s="472" t="s">
        <v>693</v>
      </c>
      <c r="H182" s="472" t="s">
        <v>694</v>
      </c>
      <c r="I182" s="472" t="s">
        <v>695</v>
      </c>
      <c r="K182" s="473">
        <f t="shared" si="13"/>
        <v>1800</v>
      </c>
      <c r="M182" s="473">
        <v>1800</v>
      </c>
    </row>
    <row r="183" spans="1:15">
      <c r="A183" s="472">
        <v>3</v>
      </c>
      <c r="C183" s="472">
        <f t="shared" si="10"/>
        <v>52</v>
      </c>
      <c r="D183" s="472">
        <f t="shared" si="11"/>
        <v>52</v>
      </c>
      <c r="E183" s="472">
        <f t="shared" si="12"/>
        <v>14</v>
      </c>
      <c r="F183" s="472" t="str">
        <f t="shared" si="14"/>
        <v>pm</v>
      </c>
      <c r="G183" s="472" t="s">
        <v>696</v>
      </c>
      <c r="H183" s="472" t="s">
        <v>331</v>
      </c>
      <c r="I183" s="472" t="s">
        <v>697</v>
      </c>
      <c r="K183" s="473">
        <f t="shared" si="13"/>
        <v>1885.5426436017462</v>
      </c>
      <c r="M183" s="473">
        <v>1800</v>
      </c>
      <c r="O183" s="472">
        <v>1885.5426436017462</v>
      </c>
    </row>
    <row r="184" spans="1:15">
      <c r="A184" s="472">
        <v>3</v>
      </c>
      <c r="C184" s="472">
        <f t="shared" si="10"/>
        <v>53</v>
      </c>
      <c r="D184" s="472">
        <f t="shared" si="11"/>
        <v>53</v>
      </c>
      <c r="E184" s="472">
        <f t="shared" si="12"/>
        <v>14</v>
      </c>
      <c r="F184" s="472" t="str">
        <f t="shared" si="14"/>
        <v>pm</v>
      </c>
      <c r="G184" s="472" t="s">
        <v>698</v>
      </c>
      <c r="H184" s="472" t="s">
        <v>331</v>
      </c>
      <c r="I184" s="472" t="s">
        <v>699</v>
      </c>
      <c r="K184" s="473">
        <f t="shared" si="13"/>
        <v>1895.9189920873694</v>
      </c>
      <c r="M184" s="473">
        <v>1800</v>
      </c>
      <c r="O184" s="472">
        <v>1895.9189920873694</v>
      </c>
    </row>
    <row r="185" spans="1:15">
      <c r="A185" s="472">
        <v>3</v>
      </c>
      <c r="C185" s="472">
        <f t="shared" si="10"/>
        <v>54</v>
      </c>
      <c r="D185" s="472">
        <f t="shared" si="11"/>
        <v>54</v>
      </c>
      <c r="E185" s="472">
        <f t="shared" si="12"/>
        <v>14</v>
      </c>
      <c r="F185" s="472" t="str">
        <f t="shared" si="14"/>
        <v>pm</v>
      </c>
      <c r="G185" s="472" t="s">
        <v>700</v>
      </c>
      <c r="H185" s="472" t="s">
        <v>331</v>
      </c>
      <c r="I185" s="472" t="s">
        <v>701</v>
      </c>
      <c r="K185" s="473">
        <f t="shared" si="13"/>
        <v>1794.4809701688885</v>
      </c>
      <c r="M185" s="473">
        <v>1800</v>
      </c>
      <c r="O185" s="472">
        <v>1794.4809701688885</v>
      </c>
    </row>
    <row r="186" spans="1:15">
      <c r="A186" s="472">
        <v>3</v>
      </c>
      <c r="C186" s="472">
        <f t="shared" si="10"/>
        <v>55</v>
      </c>
      <c r="D186" s="472">
        <f t="shared" si="11"/>
        <v>55</v>
      </c>
      <c r="E186" s="472">
        <f t="shared" si="12"/>
        <v>14</v>
      </c>
      <c r="F186" s="472" t="str">
        <f t="shared" si="14"/>
        <v>pm</v>
      </c>
      <c r="G186" s="472" t="s">
        <v>702</v>
      </c>
      <c r="H186" s="472" t="s">
        <v>331</v>
      </c>
      <c r="I186" s="472" t="s">
        <v>703</v>
      </c>
      <c r="K186" s="473">
        <f t="shared" si="13"/>
        <v>1800</v>
      </c>
      <c r="M186" s="473">
        <v>1800</v>
      </c>
    </row>
    <row r="187" spans="1:15">
      <c r="A187" s="472">
        <v>6</v>
      </c>
      <c r="C187" s="472">
        <f t="shared" si="10"/>
        <v>56</v>
      </c>
      <c r="D187" s="472">
        <f t="shared" si="11"/>
        <v>56</v>
      </c>
      <c r="E187" s="472">
        <f t="shared" si="12"/>
        <v>14</v>
      </c>
      <c r="F187" s="472" t="str">
        <f t="shared" si="14"/>
        <v>pm</v>
      </c>
      <c r="G187" s="472" t="s">
        <v>704</v>
      </c>
      <c r="H187" s="472" t="s">
        <v>386</v>
      </c>
      <c r="I187" s="472" t="s">
        <v>705</v>
      </c>
      <c r="K187" s="473">
        <f t="shared" si="13"/>
        <v>1829.1348721235647</v>
      </c>
      <c r="M187" s="473">
        <v>1800</v>
      </c>
      <c r="O187" s="472">
        <v>1829.1348721235647</v>
      </c>
    </row>
    <row r="188" spans="1:15">
      <c r="A188" s="472">
        <v>1</v>
      </c>
      <c r="C188" s="472">
        <f t="shared" si="10"/>
        <v>57</v>
      </c>
      <c r="D188" s="472">
        <f t="shared" si="11"/>
        <v>57</v>
      </c>
      <c r="E188" s="472">
        <f t="shared" si="12"/>
        <v>14</v>
      </c>
      <c r="F188" s="472" t="str">
        <f t="shared" si="14"/>
        <v>sox</v>
      </c>
      <c r="G188" s="472" t="s">
        <v>706</v>
      </c>
      <c r="H188" s="472" t="s">
        <v>529</v>
      </c>
      <c r="I188" s="472" t="s">
        <v>707</v>
      </c>
      <c r="K188" s="473">
        <f t="shared" si="13"/>
        <v>1800</v>
      </c>
      <c r="M188" s="473">
        <v>1800</v>
      </c>
    </row>
    <row r="189" spans="1:15">
      <c r="A189" s="472">
        <v>2</v>
      </c>
      <c r="C189" s="472">
        <f t="shared" si="10"/>
        <v>58</v>
      </c>
      <c r="D189" s="472">
        <f t="shared" si="11"/>
        <v>57</v>
      </c>
      <c r="E189" s="472">
        <f t="shared" si="12"/>
        <v>14</v>
      </c>
      <c r="F189" s="472" t="str">
        <f t="shared" si="14"/>
        <v>so</v>
      </c>
      <c r="G189" s="472" t="s">
        <v>708</v>
      </c>
      <c r="H189" s="472" t="s">
        <v>529</v>
      </c>
      <c r="I189" s="472" t="s">
        <v>709</v>
      </c>
      <c r="K189" s="473">
        <f t="shared" si="13"/>
        <v>1800</v>
      </c>
      <c r="M189" s="473">
        <v>1800</v>
      </c>
    </row>
    <row r="190" spans="1:15">
      <c r="A190" s="472">
        <v>5</v>
      </c>
      <c r="C190" s="472">
        <f t="shared" si="10"/>
        <v>59</v>
      </c>
      <c r="D190" s="472">
        <f t="shared" si="11"/>
        <v>59</v>
      </c>
      <c r="E190" s="472">
        <f t="shared" si="12"/>
        <v>14</v>
      </c>
      <c r="F190" s="472" t="str">
        <f t="shared" si="14"/>
        <v>pm</v>
      </c>
      <c r="G190" s="472" t="s">
        <v>710</v>
      </c>
      <c r="H190" s="472" t="s">
        <v>301</v>
      </c>
      <c r="I190" s="472" t="s">
        <v>711</v>
      </c>
      <c r="K190" s="473">
        <f t="shared" si="13"/>
        <v>1911.387679095757</v>
      </c>
      <c r="M190" s="473">
        <v>1800</v>
      </c>
      <c r="O190" s="472">
        <v>1911.387679095757</v>
      </c>
    </row>
    <row r="191" spans="1:15">
      <c r="A191" s="472">
        <v>2</v>
      </c>
      <c r="C191" s="472">
        <f t="shared" si="10"/>
        <v>60</v>
      </c>
      <c r="D191" s="472">
        <f t="shared" si="11"/>
        <v>60</v>
      </c>
      <c r="E191" s="472">
        <f t="shared" si="12"/>
        <v>14</v>
      </c>
      <c r="F191" s="472" t="str">
        <f t="shared" si="14"/>
        <v>pm</v>
      </c>
      <c r="G191" s="472" t="s">
        <v>712</v>
      </c>
      <c r="H191" s="472" t="s">
        <v>92</v>
      </c>
      <c r="I191" s="472" t="s">
        <v>713</v>
      </c>
      <c r="K191" s="473">
        <f t="shared" si="13"/>
        <v>1800</v>
      </c>
      <c r="M191" s="473">
        <v>1800</v>
      </c>
    </row>
    <row r="192" spans="1:15">
      <c r="A192" s="472">
        <v>4</v>
      </c>
      <c r="C192" s="472">
        <f t="shared" si="10"/>
        <v>61</v>
      </c>
      <c r="D192" s="472">
        <f t="shared" si="11"/>
        <v>60</v>
      </c>
      <c r="E192" s="472">
        <f t="shared" si="12"/>
        <v>14</v>
      </c>
      <c r="F192" s="472" t="str">
        <f t="shared" si="14"/>
        <v>pm</v>
      </c>
      <c r="G192" s="472" t="s">
        <v>714</v>
      </c>
      <c r="H192" s="472" t="s">
        <v>397</v>
      </c>
      <c r="I192" s="472" t="s">
        <v>715</v>
      </c>
      <c r="K192" s="473">
        <f t="shared" si="13"/>
        <v>1800</v>
      </c>
      <c r="M192" s="473">
        <v>1800</v>
      </c>
    </row>
    <row r="193" spans="1:15">
      <c r="A193" s="472">
        <v>6</v>
      </c>
      <c r="C193" s="472">
        <f t="shared" si="10"/>
        <v>62</v>
      </c>
      <c r="D193" s="472">
        <f t="shared" si="11"/>
        <v>62</v>
      </c>
      <c r="E193" s="472">
        <f t="shared" si="12"/>
        <v>14</v>
      </c>
      <c r="F193" s="472" t="str">
        <f t="shared" si="14"/>
        <v>pm</v>
      </c>
      <c r="G193" s="472" t="s">
        <v>716</v>
      </c>
      <c r="H193" s="472" t="s">
        <v>421</v>
      </c>
      <c r="I193" s="472" t="s">
        <v>717</v>
      </c>
      <c r="K193" s="473">
        <f t="shared" si="13"/>
        <v>1779.8327634610339</v>
      </c>
      <c r="M193" s="473">
        <v>1800</v>
      </c>
      <c r="O193" s="472">
        <v>1779.8327634610339</v>
      </c>
    </row>
    <row r="194" spans="1:15">
      <c r="A194" s="472">
        <v>2</v>
      </c>
      <c r="C194" s="472">
        <f t="shared" ref="C194:C257" si="15">IF(E194=E193,C193+1,1)</f>
        <v>63</v>
      </c>
      <c r="D194" s="472">
        <f t="shared" ref="D194:D257" si="16">IF(K194=K193,D193,C194)</f>
        <v>63</v>
      </c>
      <c r="E194" s="472">
        <f t="shared" ref="E194:E257" si="17">10+VALUE(RIGHT(LEFT(G194,3),1))</f>
        <v>14</v>
      </c>
      <c r="F194" s="472" t="str">
        <f t="shared" si="14"/>
        <v>cr</v>
      </c>
      <c r="G194" s="472" t="s">
        <v>718</v>
      </c>
      <c r="H194" s="472" t="s">
        <v>405</v>
      </c>
      <c r="I194" s="472" t="s">
        <v>719</v>
      </c>
      <c r="K194" s="473">
        <f t="shared" ref="K194:K257" si="18">LOOKUP(1E+100,M194:AC194)</f>
        <v>1800</v>
      </c>
      <c r="M194" s="473">
        <v>1800</v>
      </c>
    </row>
    <row r="195" spans="1:15">
      <c r="A195" s="472">
        <v>2</v>
      </c>
      <c r="C195" s="472">
        <f t="shared" si="15"/>
        <v>64</v>
      </c>
      <c r="D195" s="472">
        <f t="shared" si="16"/>
        <v>63</v>
      </c>
      <c r="E195" s="472">
        <f t="shared" si="17"/>
        <v>14</v>
      </c>
      <c r="F195" s="472" t="str">
        <f t="shared" ref="F195:F258" si="19">RIGHT(G195,2) &amp; IF(A195&lt;2,"x","")</f>
        <v>pm</v>
      </c>
      <c r="G195" s="472" t="s">
        <v>720</v>
      </c>
      <c r="H195" s="472" t="s">
        <v>154</v>
      </c>
      <c r="I195" s="472" t="s">
        <v>721</v>
      </c>
      <c r="K195" s="473">
        <f t="shared" si="18"/>
        <v>1800</v>
      </c>
      <c r="M195" s="473">
        <v>1800</v>
      </c>
    </row>
    <row r="196" spans="1:15">
      <c r="A196" s="472">
        <v>2</v>
      </c>
      <c r="C196" s="472">
        <f t="shared" si="15"/>
        <v>65</v>
      </c>
      <c r="D196" s="472">
        <f t="shared" si="16"/>
        <v>63</v>
      </c>
      <c r="E196" s="472">
        <f t="shared" si="17"/>
        <v>14</v>
      </c>
      <c r="F196" s="472" t="str">
        <f t="shared" si="19"/>
        <v>pm</v>
      </c>
      <c r="G196" s="472" t="s">
        <v>722</v>
      </c>
      <c r="H196" s="472" t="s">
        <v>154</v>
      </c>
      <c r="I196" s="472" t="s">
        <v>723</v>
      </c>
      <c r="K196" s="473">
        <f t="shared" si="18"/>
        <v>1800</v>
      </c>
      <c r="M196" s="473">
        <v>1800</v>
      </c>
    </row>
    <row r="197" spans="1:15">
      <c r="A197" s="472">
        <v>2</v>
      </c>
      <c r="C197" s="472">
        <f t="shared" si="15"/>
        <v>66</v>
      </c>
      <c r="D197" s="472">
        <f t="shared" si="16"/>
        <v>63</v>
      </c>
      <c r="E197" s="472">
        <f t="shared" si="17"/>
        <v>14</v>
      </c>
      <c r="F197" s="472" t="str">
        <f t="shared" si="19"/>
        <v>pm</v>
      </c>
      <c r="G197" s="472" t="s">
        <v>724</v>
      </c>
      <c r="H197" s="472" t="s">
        <v>154</v>
      </c>
      <c r="I197" s="472" t="s">
        <v>725</v>
      </c>
      <c r="K197" s="473">
        <f t="shared" si="18"/>
        <v>1800</v>
      </c>
      <c r="M197" s="473">
        <v>1800</v>
      </c>
    </row>
    <row r="198" spans="1:15">
      <c r="A198" s="472">
        <v>2</v>
      </c>
      <c r="C198" s="472">
        <f t="shared" si="15"/>
        <v>67</v>
      </c>
      <c r="D198" s="472">
        <f t="shared" si="16"/>
        <v>63</v>
      </c>
      <c r="E198" s="472">
        <f t="shared" si="17"/>
        <v>14</v>
      </c>
      <c r="F198" s="472" t="str">
        <f t="shared" si="19"/>
        <v>pm</v>
      </c>
      <c r="G198" s="472" t="s">
        <v>726</v>
      </c>
      <c r="H198" s="472" t="s">
        <v>154</v>
      </c>
      <c r="I198" s="472" t="s">
        <v>727</v>
      </c>
      <c r="K198" s="473">
        <f t="shared" si="18"/>
        <v>1800</v>
      </c>
      <c r="M198" s="473">
        <v>1800</v>
      </c>
    </row>
    <row r="199" spans="1:15">
      <c r="A199" s="472">
        <v>2</v>
      </c>
      <c r="C199" s="472">
        <f t="shared" si="15"/>
        <v>68</v>
      </c>
      <c r="D199" s="472">
        <f t="shared" si="16"/>
        <v>63</v>
      </c>
      <c r="E199" s="472">
        <f t="shared" si="17"/>
        <v>14</v>
      </c>
      <c r="F199" s="472" t="str">
        <f t="shared" si="19"/>
        <v>pm</v>
      </c>
      <c r="G199" s="472" t="s">
        <v>728</v>
      </c>
      <c r="H199" s="472" t="s">
        <v>154</v>
      </c>
      <c r="I199" s="472" t="s">
        <v>729</v>
      </c>
      <c r="K199" s="473">
        <f t="shared" si="18"/>
        <v>1800</v>
      </c>
      <c r="M199" s="473">
        <v>1800</v>
      </c>
    </row>
    <row r="200" spans="1:15">
      <c r="A200" s="472">
        <v>2</v>
      </c>
      <c r="C200" s="472">
        <f t="shared" si="15"/>
        <v>69</v>
      </c>
      <c r="D200" s="472">
        <f t="shared" si="16"/>
        <v>63</v>
      </c>
      <c r="E200" s="472">
        <f t="shared" si="17"/>
        <v>14</v>
      </c>
      <c r="F200" s="472" t="str">
        <f t="shared" si="19"/>
        <v>pm</v>
      </c>
      <c r="G200" s="472" t="s">
        <v>730</v>
      </c>
      <c r="H200" s="472" t="s">
        <v>154</v>
      </c>
      <c r="I200" s="472" t="s">
        <v>731</v>
      </c>
      <c r="K200" s="473">
        <f t="shared" si="18"/>
        <v>1800</v>
      </c>
      <c r="M200" s="473">
        <v>1800</v>
      </c>
    </row>
    <row r="201" spans="1:15">
      <c r="A201" s="472">
        <v>3</v>
      </c>
      <c r="C201" s="472">
        <f t="shared" si="15"/>
        <v>70</v>
      </c>
      <c r="D201" s="472">
        <f t="shared" si="16"/>
        <v>70</v>
      </c>
      <c r="E201" s="472">
        <f t="shared" si="17"/>
        <v>14</v>
      </c>
      <c r="F201" s="472" t="str">
        <f t="shared" si="19"/>
        <v>pm</v>
      </c>
      <c r="G201" s="472" t="s">
        <v>732</v>
      </c>
      <c r="H201" s="472" t="s">
        <v>676</v>
      </c>
      <c r="I201" s="472" t="s">
        <v>733</v>
      </c>
      <c r="K201" s="473">
        <f t="shared" si="18"/>
        <v>1756.3397787944268</v>
      </c>
      <c r="M201" s="473">
        <v>1800</v>
      </c>
      <c r="O201" s="472">
        <v>1756.3397787944268</v>
      </c>
    </row>
    <row r="202" spans="1:15">
      <c r="A202" s="472">
        <v>1</v>
      </c>
      <c r="C202" s="472">
        <f t="shared" si="15"/>
        <v>71</v>
      </c>
      <c r="D202" s="472">
        <f t="shared" si="16"/>
        <v>71</v>
      </c>
      <c r="E202" s="472">
        <f t="shared" si="17"/>
        <v>14</v>
      </c>
      <c r="F202" s="472" t="str">
        <f t="shared" si="19"/>
        <v>sox</v>
      </c>
      <c r="G202" s="472" t="s">
        <v>734</v>
      </c>
      <c r="H202" s="472" t="s">
        <v>430</v>
      </c>
      <c r="I202" s="472" t="s">
        <v>735</v>
      </c>
      <c r="K202" s="473">
        <f t="shared" si="18"/>
        <v>1800</v>
      </c>
      <c r="M202" s="473">
        <v>1800</v>
      </c>
    </row>
    <row r="203" spans="1:15">
      <c r="A203" s="472">
        <v>4</v>
      </c>
      <c r="C203" s="472">
        <f t="shared" si="15"/>
        <v>72</v>
      </c>
      <c r="D203" s="472">
        <f t="shared" si="16"/>
        <v>72</v>
      </c>
      <c r="E203" s="472">
        <f t="shared" si="17"/>
        <v>14</v>
      </c>
      <c r="F203" s="472" t="str">
        <f t="shared" si="19"/>
        <v>pm</v>
      </c>
      <c r="G203" s="472" t="s">
        <v>736</v>
      </c>
      <c r="H203" s="472" t="s">
        <v>408</v>
      </c>
      <c r="I203" s="472" t="s">
        <v>737</v>
      </c>
      <c r="K203" s="473">
        <f t="shared" si="18"/>
        <v>1783.7603772733682</v>
      </c>
      <c r="M203" s="473">
        <v>1800</v>
      </c>
      <c r="O203" s="472">
        <v>1783.7603772733682</v>
      </c>
    </row>
    <row r="204" spans="1:15">
      <c r="A204" s="472">
        <v>7</v>
      </c>
      <c r="C204" s="472">
        <f t="shared" si="15"/>
        <v>73</v>
      </c>
      <c r="D204" s="472">
        <f t="shared" si="16"/>
        <v>73</v>
      </c>
      <c r="E204" s="472">
        <f t="shared" si="17"/>
        <v>14</v>
      </c>
      <c r="F204" s="472" t="str">
        <f t="shared" si="19"/>
        <v>pm</v>
      </c>
      <c r="G204" s="472" t="s">
        <v>738</v>
      </c>
      <c r="H204" s="472" t="s">
        <v>411</v>
      </c>
      <c r="I204" s="472" t="s">
        <v>739</v>
      </c>
      <c r="K204" s="473">
        <f t="shared" si="18"/>
        <v>1721.532188883278</v>
      </c>
      <c r="M204" s="473">
        <v>1800</v>
      </c>
      <c r="O204" s="472">
        <v>1721.532188883278</v>
      </c>
    </row>
    <row r="205" spans="1:15">
      <c r="A205" s="472">
        <v>5</v>
      </c>
      <c r="C205" s="472">
        <f t="shared" si="15"/>
        <v>74</v>
      </c>
      <c r="D205" s="472">
        <f t="shared" si="16"/>
        <v>74</v>
      </c>
      <c r="E205" s="472">
        <f t="shared" si="17"/>
        <v>14</v>
      </c>
      <c r="F205" s="472" t="str">
        <f t="shared" si="19"/>
        <v>pm</v>
      </c>
      <c r="G205" s="472" t="s">
        <v>740</v>
      </c>
      <c r="H205" s="472" t="s">
        <v>86</v>
      </c>
      <c r="I205" s="472" t="s">
        <v>741</v>
      </c>
      <c r="K205" s="473">
        <f t="shared" si="18"/>
        <v>1800</v>
      </c>
      <c r="M205" s="473">
        <v>1800</v>
      </c>
    </row>
    <row r="206" spans="1:15">
      <c r="A206" s="472">
        <v>5</v>
      </c>
      <c r="C206" s="472">
        <f t="shared" si="15"/>
        <v>75</v>
      </c>
      <c r="D206" s="472">
        <f t="shared" si="16"/>
        <v>74</v>
      </c>
      <c r="E206" s="472">
        <f t="shared" si="17"/>
        <v>14</v>
      </c>
      <c r="F206" s="472" t="str">
        <f t="shared" si="19"/>
        <v>pm</v>
      </c>
      <c r="G206" s="472" t="s">
        <v>742</v>
      </c>
      <c r="H206" s="472" t="s">
        <v>86</v>
      </c>
      <c r="I206" s="472" t="s">
        <v>743</v>
      </c>
      <c r="K206" s="473">
        <f t="shared" si="18"/>
        <v>1800</v>
      </c>
      <c r="M206" s="473">
        <v>1800</v>
      </c>
    </row>
    <row r="207" spans="1:15">
      <c r="A207" s="472">
        <v>1</v>
      </c>
      <c r="C207" s="472">
        <f t="shared" si="15"/>
        <v>76</v>
      </c>
      <c r="D207" s="472">
        <f t="shared" si="16"/>
        <v>74</v>
      </c>
      <c r="E207" s="472">
        <f t="shared" si="17"/>
        <v>14</v>
      </c>
      <c r="F207" s="472" t="str">
        <f t="shared" si="19"/>
        <v>crx</v>
      </c>
      <c r="G207" s="472" t="s">
        <v>744</v>
      </c>
      <c r="H207" s="472" t="s">
        <v>745</v>
      </c>
      <c r="I207" s="472" t="s">
        <v>745</v>
      </c>
      <c r="K207" s="473">
        <f t="shared" si="18"/>
        <v>1800</v>
      </c>
      <c r="M207" s="473">
        <v>1800</v>
      </c>
    </row>
    <row r="208" spans="1:15">
      <c r="A208" s="472">
        <v>1</v>
      </c>
      <c r="C208" s="472">
        <f t="shared" si="15"/>
        <v>77</v>
      </c>
      <c r="D208" s="472">
        <f t="shared" si="16"/>
        <v>74</v>
      </c>
      <c r="E208" s="472">
        <f t="shared" si="17"/>
        <v>14</v>
      </c>
      <c r="F208" s="472" t="str">
        <f t="shared" si="19"/>
        <v>crx</v>
      </c>
      <c r="G208" s="472" t="s">
        <v>746</v>
      </c>
      <c r="H208" s="472" t="s">
        <v>747</v>
      </c>
      <c r="I208" s="472" t="s">
        <v>748</v>
      </c>
      <c r="K208" s="473">
        <f t="shared" si="18"/>
        <v>1800</v>
      </c>
      <c r="M208" s="473">
        <v>1800</v>
      </c>
    </row>
    <row r="209" spans="1:15">
      <c r="A209" s="472">
        <v>1</v>
      </c>
      <c r="C209" s="472">
        <f t="shared" si="15"/>
        <v>78</v>
      </c>
      <c r="D209" s="472">
        <f t="shared" si="16"/>
        <v>74</v>
      </c>
      <c r="E209" s="472">
        <f t="shared" si="17"/>
        <v>14</v>
      </c>
      <c r="F209" s="472" t="str">
        <f t="shared" si="19"/>
        <v>pmx</v>
      </c>
      <c r="G209" s="472" t="s">
        <v>749</v>
      </c>
      <c r="H209" s="472" t="s">
        <v>416</v>
      </c>
      <c r="I209" s="472" t="s">
        <v>750</v>
      </c>
      <c r="K209" s="473">
        <f t="shared" si="18"/>
        <v>1800</v>
      </c>
      <c r="M209" s="473">
        <v>1800</v>
      </c>
    </row>
    <row r="210" spans="1:15">
      <c r="A210" s="472">
        <v>5</v>
      </c>
      <c r="C210" s="472">
        <f t="shared" si="15"/>
        <v>79</v>
      </c>
      <c r="D210" s="472">
        <f t="shared" si="16"/>
        <v>74</v>
      </c>
      <c r="E210" s="472">
        <f t="shared" si="17"/>
        <v>14</v>
      </c>
      <c r="F210" s="472" t="str">
        <f t="shared" si="19"/>
        <v>pm</v>
      </c>
      <c r="G210" s="472" t="s">
        <v>751</v>
      </c>
      <c r="H210" s="472" t="s">
        <v>579</v>
      </c>
      <c r="I210" s="472" t="s">
        <v>752</v>
      </c>
      <c r="K210" s="473">
        <f t="shared" si="18"/>
        <v>1800</v>
      </c>
      <c r="M210" s="473">
        <v>1800</v>
      </c>
    </row>
    <row r="211" spans="1:15">
      <c r="A211" s="472">
        <v>1</v>
      </c>
      <c r="C211" s="472">
        <f t="shared" si="15"/>
        <v>80</v>
      </c>
      <c r="D211" s="472">
        <f t="shared" si="16"/>
        <v>74</v>
      </c>
      <c r="E211" s="472">
        <f t="shared" si="17"/>
        <v>14</v>
      </c>
      <c r="F211" s="472" t="str">
        <f t="shared" si="19"/>
        <v>sox</v>
      </c>
      <c r="G211" s="472" t="s">
        <v>753</v>
      </c>
      <c r="H211" s="472" t="s">
        <v>754</v>
      </c>
      <c r="I211" s="472" t="s">
        <v>755</v>
      </c>
      <c r="K211" s="473">
        <f t="shared" si="18"/>
        <v>1800</v>
      </c>
      <c r="M211" s="473">
        <v>1800</v>
      </c>
    </row>
    <row r="212" spans="1:15">
      <c r="A212" s="472">
        <v>1</v>
      </c>
      <c r="C212" s="472">
        <f t="shared" si="15"/>
        <v>81</v>
      </c>
      <c r="D212" s="472">
        <f t="shared" si="16"/>
        <v>74</v>
      </c>
      <c r="E212" s="472">
        <f t="shared" si="17"/>
        <v>14</v>
      </c>
      <c r="F212" s="472" t="str">
        <f t="shared" si="19"/>
        <v>sox</v>
      </c>
      <c r="G212" s="472" t="s">
        <v>756</v>
      </c>
      <c r="H212" s="472" t="s">
        <v>754</v>
      </c>
      <c r="I212" s="472" t="s">
        <v>757</v>
      </c>
      <c r="K212" s="473">
        <f t="shared" si="18"/>
        <v>1800</v>
      </c>
      <c r="M212" s="473">
        <v>1800</v>
      </c>
    </row>
    <row r="213" spans="1:15">
      <c r="A213" s="472">
        <v>4</v>
      </c>
      <c r="C213" s="472">
        <f t="shared" si="15"/>
        <v>82</v>
      </c>
      <c r="D213" s="472">
        <f t="shared" si="16"/>
        <v>74</v>
      </c>
      <c r="E213" s="472">
        <f t="shared" si="17"/>
        <v>14</v>
      </c>
      <c r="F213" s="472" t="str">
        <f t="shared" si="19"/>
        <v>pm</v>
      </c>
      <c r="G213" s="472" t="s">
        <v>758</v>
      </c>
      <c r="H213" s="472" t="s">
        <v>483</v>
      </c>
      <c r="I213" s="472" t="s">
        <v>759</v>
      </c>
      <c r="K213" s="473">
        <f t="shared" si="18"/>
        <v>1800</v>
      </c>
      <c r="M213" s="473">
        <v>1800</v>
      </c>
    </row>
    <row r="214" spans="1:15">
      <c r="A214" s="472">
        <v>2</v>
      </c>
      <c r="C214" s="472">
        <f t="shared" si="15"/>
        <v>1</v>
      </c>
      <c r="D214" s="472">
        <f t="shared" si="16"/>
        <v>1</v>
      </c>
      <c r="E214" s="472">
        <f t="shared" si="17"/>
        <v>15</v>
      </c>
      <c r="F214" s="472" t="str">
        <f t="shared" si="19"/>
        <v>pm</v>
      </c>
      <c r="G214" s="472" t="s">
        <v>760</v>
      </c>
      <c r="H214" s="472" t="s">
        <v>86</v>
      </c>
      <c r="I214" s="472" t="s">
        <v>761</v>
      </c>
      <c r="K214" s="473">
        <f t="shared" si="18"/>
        <v>2500</v>
      </c>
      <c r="M214" s="473">
        <v>2500</v>
      </c>
    </row>
    <row r="215" spans="1:15">
      <c r="A215" s="472">
        <v>3</v>
      </c>
      <c r="C215" s="472">
        <f t="shared" si="15"/>
        <v>2</v>
      </c>
      <c r="D215" s="472">
        <f t="shared" si="16"/>
        <v>2</v>
      </c>
      <c r="E215" s="472">
        <f t="shared" si="17"/>
        <v>15</v>
      </c>
      <c r="F215" s="472" t="str">
        <f t="shared" si="19"/>
        <v>pm</v>
      </c>
      <c r="G215" s="472" t="s">
        <v>762</v>
      </c>
      <c r="H215" s="472" t="s">
        <v>654</v>
      </c>
      <c r="I215" s="472" t="s">
        <v>763</v>
      </c>
      <c r="K215" s="473">
        <f t="shared" si="18"/>
        <v>2510.3448964772092</v>
      </c>
      <c r="M215" s="473">
        <v>2466.6666666666665</v>
      </c>
      <c r="N215" s="472">
        <v>2480.3644408797813</v>
      </c>
      <c r="O215" s="472">
        <v>2510.3448964772092</v>
      </c>
    </row>
    <row r="216" spans="1:15">
      <c r="A216" s="472">
        <v>7</v>
      </c>
      <c r="C216" s="472">
        <f t="shared" si="15"/>
        <v>3</v>
      </c>
      <c r="D216" s="472">
        <f t="shared" si="16"/>
        <v>3</v>
      </c>
      <c r="E216" s="472">
        <f t="shared" si="17"/>
        <v>15</v>
      </c>
      <c r="F216" s="472" t="str">
        <f t="shared" si="19"/>
        <v>pm</v>
      </c>
      <c r="G216" s="472" t="s">
        <v>764</v>
      </c>
      <c r="H216" s="472" t="s">
        <v>512</v>
      </c>
      <c r="I216" s="472" t="s">
        <v>765</v>
      </c>
      <c r="K216" s="473">
        <f t="shared" si="18"/>
        <v>2276.9965662182972</v>
      </c>
      <c r="M216" s="473">
        <v>2428.5714285714284</v>
      </c>
      <c r="O216" s="472">
        <v>2276.9965662182972</v>
      </c>
    </row>
    <row r="217" spans="1:15">
      <c r="A217" s="472">
        <v>1</v>
      </c>
      <c r="C217" s="472">
        <f t="shared" si="15"/>
        <v>4</v>
      </c>
      <c r="D217" s="472">
        <f t="shared" si="16"/>
        <v>4</v>
      </c>
      <c r="E217" s="472">
        <f t="shared" si="17"/>
        <v>15</v>
      </c>
      <c r="F217" s="472" t="str">
        <f t="shared" si="19"/>
        <v>sox</v>
      </c>
      <c r="G217" s="472" t="s">
        <v>766</v>
      </c>
      <c r="H217" s="472" t="s">
        <v>351</v>
      </c>
      <c r="I217" s="472" t="s">
        <v>767</v>
      </c>
      <c r="K217" s="473">
        <f t="shared" si="18"/>
        <v>2400</v>
      </c>
      <c r="M217" s="473">
        <v>2400</v>
      </c>
    </row>
    <row r="218" spans="1:15">
      <c r="A218" s="472">
        <v>1</v>
      </c>
      <c r="C218" s="472">
        <f t="shared" si="15"/>
        <v>5</v>
      </c>
      <c r="D218" s="472">
        <f t="shared" si="16"/>
        <v>4</v>
      </c>
      <c r="E218" s="472">
        <f t="shared" si="17"/>
        <v>15</v>
      </c>
      <c r="F218" s="472" t="str">
        <f t="shared" si="19"/>
        <v>crx</v>
      </c>
      <c r="G218" s="472" t="s">
        <v>768</v>
      </c>
      <c r="H218" s="472" t="s">
        <v>340</v>
      </c>
      <c r="I218" s="472" t="s">
        <v>769</v>
      </c>
      <c r="K218" s="473">
        <f t="shared" si="18"/>
        <v>2400</v>
      </c>
      <c r="M218" s="473">
        <v>2400</v>
      </c>
    </row>
    <row r="219" spans="1:15">
      <c r="A219" s="472">
        <v>2</v>
      </c>
      <c r="C219" s="472">
        <f t="shared" si="15"/>
        <v>6</v>
      </c>
      <c r="D219" s="472">
        <f t="shared" si="16"/>
        <v>4</v>
      </c>
      <c r="E219" s="472">
        <f t="shared" si="17"/>
        <v>15</v>
      </c>
      <c r="F219" s="472" t="str">
        <f t="shared" si="19"/>
        <v>cr</v>
      </c>
      <c r="G219" s="472" t="s">
        <v>770</v>
      </c>
      <c r="H219" s="472" t="s">
        <v>340</v>
      </c>
      <c r="I219" s="472" t="s">
        <v>771</v>
      </c>
      <c r="K219" s="473">
        <f t="shared" si="18"/>
        <v>2400</v>
      </c>
      <c r="M219" s="473">
        <v>2400</v>
      </c>
    </row>
    <row r="220" spans="1:15">
      <c r="A220" s="472">
        <v>1</v>
      </c>
      <c r="C220" s="472">
        <f t="shared" si="15"/>
        <v>7</v>
      </c>
      <c r="D220" s="472">
        <f t="shared" si="16"/>
        <v>4</v>
      </c>
      <c r="E220" s="472">
        <f t="shared" si="17"/>
        <v>15</v>
      </c>
      <c r="F220" s="472" t="str">
        <f t="shared" si="19"/>
        <v>sox</v>
      </c>
      <c r="G220" s="472" t="s">
        <v>772</v>
      </c>
      <c r="H220" s="472" t="s">
        <v>773</v>
      </c>
      <c r="I220" s="472" t="s">
        <v>774</v>
      </c>
      <c r="K220" s="473">
        <f t="shared" si="18"/>
        <v>2400</v>
      </c>
      <c r="M220" s="473">
        <v>2400</v>
      </c>
    </row>
    <row r="221" spans="1:15">
      <c r="A221" s="472">
        <v>2</v>
      </c>
      <c r="C221" s="472">
        <f t="shared" si="15"/>
        <v>8</v>
      </c>
      <c r="D221" s="472">
        <f t="shared" si="16"/>
        <v>8</v>
      </c>
      <c r="E221" s="472">
        <f t="shared" si="17"/>
        <v>15</v>
      </c>
      <c r="F221" s="472" t="str">
        <f t="shared" si="19"/>
        <v>pm</v>
      </c>
      <c r="G221" s="472" t="s">
        <v>775</v>
      </c>
      <c r="H221" s="472" t="s">
        <v>370</v>
      </c>
      <c r="I221" s="472" t="s">
        <v>776</v>
      </c>
      <c r="K221" s="473">
        <f t="shared" si="18"/>
        <v>2492.2667464610149</v>
      </c>
      <c r="M221" s="473">
        <v>2400</v>
      </c>
      <c r="N221" s="472">
        <v>2492.2667464610149</v>
      </c>
    </row>
    <row r="222" spans="1:15">
      <c r="A222" s="472">
        <v>1</v>
      </c>
      <c r="C222" s="472">
        <f t="shared" si="15"/>
        <v>9</v>
      </c>
      <c r="D222" s="472">
        <f t="shared" si="16"/>
        <v>9</v>
      </c>
      <c r="E222" s="472">
        <f t="shared" si="17"/>
        <v>15</v>
      </c>
      <c r="F222" s="472" t="str">
        <f t="shared" si="19"/>
        <v>crx</v>
      </c>
      <c r="G222" s="472" t="s">
        <v>777</v>
      </c>
      <c r="H222" s="472" t="s">
        <v>778</v>
      </c>
      <c r="I222" s="472" t="s">
        <v>779</v>
      </c>
      <c r="K222" s="473">
        <f t="shared" si="18"/>
        <v>2400</v>
      </c>
      <c r="M222" s="473">
        <v>2400</v>
      </c>
    </row>
    <row r="223" spans="1:15">
      <c r="A223" s="472">
        <v>3</v>
      </c>
      <c r="C223" s="472">
        <f t="shared" si="15"/>
        <v>10</v>
      </c>
      <c r="D223" s="472">
        <f t="shared" si="16"/>
        <v>10</v>
      </c>
      <c r="E223" s="472">
        <f t="shared" si="17"/>
        <v>15</v>
      </c>
      <c r="F223" s="472" t="str">
        <f t="shared" si="19"/>
        <v>pm</v>
      </c>
      <c r="G223" s="472" t="s">
        <v>780</v>
      </c>
      <c r="H223" s="472" t="s">
        <v>331</v>
      </c>
      <c r="I223" s="472" t="s">
        <v>781</v>
      </c>
      <c r="K223" s="473">
        <f t="shared" si="18"/>
        <v>2499.9052143727263</v>
      </c>
      <c r="M223" s="473">
        <v>2400</v>
      </c>
      <c r="N223" s="472">
        <v>2499.9052143727263</v>
      </c>
    </row>
    <row r="224" spans="1:15">
      <c r="A224" s="472">
        <v>4</v>
      </c>
      <c r="C224" s="472">
        <f t="shared" si="15"/>
        <v>11</v>
      </c>
      <c r="D224" s="472">
        <f t="shared" si="16"/>
        <v>11</v>
      </c>
      <c r="E224" s="472">
        <f t="shared" si="17"/>
        <v>15</v>
      </c>
      <c r="F224" s="472" t="str">
        <f t="shared" si="19"/>
        <v>pm</v>
      </c>
      <c r="G224" s="472" t="s">
        <v>782</v>
      </c>
      <c r="H224" s="472" t="s">
        <v>331</v>
      </c>
      <c r="I224" s="472" t="s">
        <v>783</v>
      </c>
      <c r="K224" s="473">
        <f t="shared" si="18"/>
        <v>2470.8208175790637</v>
      </c>
      <c r="M224" s="473">
        <v>2400</v>
      </c>
      <c r="N224" s="472">
        <v>2470.8208175790637</v>
      </c>
    </row>
    <row r="225" spans="1:14">
      <c r="A225" s="472">
        <v>4</v>
      </c>
      <c r="C225" s="472">
        <f t="shared" si="15"/>
        <v>12</v>
      </c>
      <c r="D225" s="472">
        <f t="shared" si="16"/>
        <v>12</v>
      </c>
      <c r="E225" s="472">
        <f t="shared" si="17"/>
        <v>15</v>
      </c>
      <c r="F225" s="472" t="str">
        <f t="shared" si="19"/>
        <v>pm</v>
      </c>
      <c r="G225" s="472" t="s">
        <v>784</v>
      </c>
      <c r="H225" s="472" t="s">
        <v>331</v>
      </c>
      <c r="I225" s="472" t="s">
        <v>785</v>
      </c>
      <c r="K225" s="473">
        <f t="shared" si="18"/>
        <v>2369.8134275114357</v>
      </c>
      <c r="M225" s="473">
        <v>2400</v>
      </c>
      <c r="N225" s="472">
        <v>2369.8134275114357</v>
      </c>
    </row>
    <row r="226" spans="1:14">
      <c r="A226" s="472">
        <v>5</v>
      </c>
      <c r="C226" s="472">
        <f t="shared" si="15"/>
        <v>13</v>
      </c>
      <c r="D226" s="472">
        <f t="shared" si="16"/>
        <v>13</v>
      </c>
      <c r="E226" s="472">
        <f t="shared" si="17"/>
        <v>15</v>
      </c>
      <c r="F226" s="472" t="str">
        <f t="shared" si="19"/>
        <v>pm</v>
      </c>
      <c r="G226" s="472" t="s">
        <v>786</v>
      </c>
      <c r="H226" s="472" t="s">
        <v>383</v>
      </c>
      <c r="I226" s="472" t="s">
        <v>787</v>
      </c>
      <c r="K226" s="473">
        <f t="shared" si="18"/>
        <v>2396.4856055822324</v>
      </c>
      <c r="M226" s="473">
        <v>2400</v>
      </c>
      <c r="N226" s="472">
        <v>2396.4856055822324</v>
      </c>
    </row>
    <row r="227" spans="1:14">
      <c r="A227" s="472">
        <v>6</v>
      </c>
      <c r="C227" s="472">
        <f t="shared" si="15"/>
        <v>14</v>
      </c>
      <c r="D227" s="472">
        <f t="shared" si="16"/>
        <v>14</v>
      </c>
      <c r="E227" s="472">
        <f t="shared" si="17"/>
        <v>15</v>
      </c>
      <c r="F227" s="472" t="str">
        <f t="shared" si="19"/>
        <v>pm</v>
      </c>
      <c r="G227" s="472" t="s">
        <v>788</v>
      </c>
      <c r="H227" s="472" t="s">
        <v>386</v>
      </c>
      <c r="I227" s="472" t="s">
        <v>789</v>
      </c>
      <c r="K227" s="473">
        <f t="shared" si="18"/>
        <v>2462.2068631517795</v>
      </c>
      <c r="M227" s="473">
        <v>2400</v>
      </c>
      <c r="N227" s="472">
        <v>2462.2068631517795</v>
      </c>
    </row>
    <row r="228" spans="1:14">
      <c r="A228" s="472">
        <v>3</v>
      </c>
      <c r="C228" s="472">
        <f t="shared" si="15"/>
        <v>15</v>
      </c>
      <c r="D228" s="472">
        <f t="shared" si="16"/>
        <v>15</v>
      </c>
      <c r="E228" s="472">
        <f t="shared" si="17"/>
        <v>15</v>
      </c>
      <c r="F228" s="472" t="str">
        <f t="shared" si="19"/>
        <v>pm</v>
      </c>
      <c r="G228" s="472" t="s">
        <v>790</v>
      </c>
      <c r="H228" s="472" t="s">
        <v>391</v>
      </c>
      <c r="I228" s="472" t="s">
        <v>791</v>
      </c>
      <c r="K228" s="473">
        <f t="shared" si="18"/>
        <v>2400</v>
      </c>
      <c r="M228" s="473">
        <v>2400</v>
      </c>
    </row>
    <row r="229" spans="1:14">
      <c r="A229" s="472">
        <v>1</v>
      </c>
      <c r="C229" s="472">
        <f t="shared" si="15"/>
        <v>16</v>
      </c>
      <c r="D229" s="472">
        <f t="shared" si="16"/>
        <v>15</v>
      </c>
      <c r="E229" s="472">
        <f t="shared" si="17"/>
        <v>15</v>
      </c>
      <c r="F229" s="472" t="str">
        <f t="shared" si="19"/>
        <v>pmx</v>
      </c>
      <c r="G229" s="472" t="s">
        <v>792</v>
      </c>
      <c r="H229" s="472" t="s">
        <v>449</v>
      </c>
      <c r="I229" s="472" t="s">
        <v>793</v>
      </c>
      <c r="K229" s="473">
        <f t="shared" si="18"/>
        <v>2400</v>
      </c>
      <c r="M229" s="473">
        <v>2400</v>
      </c>
    </row>
    <row r="230" spans="1:14">
      <c r="A230" s="472">
        <v>1</v>
      </c>
      <c r="C230" s="472">
        <f t="shared" si="15"/>
        <v>17</v>
      </c>
      <c r="D230" s="472">
        <f t="shared" si="16"/>
        <v>15</v>
      </c>
      <c r="E230" s="472">
        <f t="shared" si="17"/>
        <v>15</v>
      </c>
      <c r="F230" s="472" t="str">
        <f t="shared" si="19"/>
        <v>pmx</v>
      </c>
      <c r="G230" s="472" t="s">
        <v>794</v>
      </c>
      <c r="H230" s="472" t="s">
        <v>449</v>
      </c>
      <c r="I230" s="472" t="s">
        <v>795</v>
      </c>
      <c r="K230" s="473">
        <f t="shared" si="18"/>
        <v>2400</v>
      </c>
      <c r="M230" s="473">
        <v>2400</v>
      </c>
    </row>
    <row r="231" spans="1:14">
      <c r="A231" s="472">
        <v>1</v>
      </c>
      <c r="C231" s="472">
        <f t="shared" si="15"/>
        <v>18</v>
      </c>
      <c r="D231" s="472">
        <f t="shared" si="16"/>
        <v>15</v>
      </c>
      <c r="E231" s="472">
        <f t="shared" si="17"/>
        <v>15</v>
      </c>
      <c r="F231" s="472" t="str">
        <f t="shared" si="19"/>
        <v>crx</v>
      </c>
      <c r="G231" s="472" t="s">
        <v>796</v>
      </c>
      <c r="H231" s="472" t="s">
        <v>613</v>
      </c>
      <c r="I231" s="472" t="s">
        <v>797</v>
      </c>
      <c r="K231" s="473">
        <f t="shared" si="18"/>
        <v>2400</v>
      </c>
      <c r="M231" s="473">
        <v>2400</v>
      </c>
    </row>
    <row r="232" spans="1:14">
      <c r="A232" s="472">
        <v>4</v>
      </c>
      <c r="C232" s="472">
        <f t="shared" si="15"/>
        <v>19</v>
      </c>
      <c r="D232" s="472">
        <f t="shared" si="16"/>
        <v>19</v>
      </c>
      <c r="E232" s="472">
        <f t="shared" si="17"/>
        <v>15</v>
      </c>
      <c r="F232" s="472" t="str">
        <f t="shared" si="19"/>
        <v>pm</v>
      </c>
      <c r="G232" s="472" t="s">
        <v>798</v>
      </c>
      <c r="H232" s="472" t="s">
        <v>799</v>
      </c>
      <c r="I232" s="472" t="s">
        <v>800</v>
      </c>
      <c r="K232" s="473">
        <f t="shared" si="18"/>
        <v>2325.1183630529181</v>
      </c>
      <c r="M232" s="473">
        <v>2400</v>
      </c>
      <c r="N232" s="472">
        <v>2325.1183630529181</v>
      </c>
    </row>
    <row r="233" spans="1:14">
      <c r="A233" s="472">
        <v>6</v>
      </c>
      <c r="C233" s="472">
        <f t="shared" si="15"/>
        <v>20</v>
      </c>
      <c r="D233" s="472">
        <f t="shared" si="16"/>
        <v>20</v>
      </c>
      <c r="E233" s="472">
        <f t="shared" si="17"/>
        <v>15</v>
      </c>
      <c r="F233" s="472" t="str">
        <f t="shared" si="19"/>
        <v>pm</v>
      </c>
      <c r="G233" s="472" t="s">
        <v>801</v>
      </c>
      <c r="H233" s="472" t="s">
        <v>394</v>
      </c>
      <c r="I233" s="472" t="s">
        <v>802</v>
      </c>
      <c r="K233" s="473">
        <f t="shared" si="18"/>
        <v>2400</v>
      </c>
      <c r="M233" s="473">
        <v>2400</v>
      </c>
    </row>
    <row r="234" spans="1:14">
      <c r="A234" s="472">
        <v>6</v>
      </c>
      <c r="C234" s="472">
        <f t="shared" si="15"/>
        <v>21</v>
      </c>
      <c r="D234" s="472">
        <f t="shared" si="16"/>
        <v>21</v>
      </c>
      <c r="E234" s="472">
        <f t="shared" si="17"/>
        <v>15</v>
      </c>
      <c r="F234" s="472" t="str">
        <f t="shared" si="19"/>
        <v>pm</v>
      </c>
      <c r="G234" s="472" t="s">
        <v>803</v>
      </c>
      <c r="H234" s="472" t="s">
        <v>421</v>
      </c>
      <c r="I234" s="472" t="s">
        <v>804</v>
      </c>
      <c r="K234" s="473">
        <f t="shared" si="18"/>
        <v>2346.6535202790119</v>
      </c>
      <c r="M234" s="473">
        <v>2400</v>
      </c>
      <c r="N234" s="472">
        <v>2346.6535202790119</v>
      </c>
    </row>
    <row r="235" spans="1:14">
      <c r="A235" s="472">
        <v>1</v>
      </c>
      <c r="C235" s="472">
        <f t="shared" si="15"/>
        <v>22</v>
      </c>
      <c r="D235" s="472">
        <f t="shared" si="16"/>
        <v>22</v>
      </c>
      <c r="E235" s="472">
        <f t="shared" si="17"/>
        <v>15</v>
      </c>
      <c r="F235" s="472" t="str">
        <f t="shared" si="19"/>
        <v>crx</v>
      </c>
      <c r="G235" s="472" t="s">
        <v>805</v>
      </c>
      <c r="H235" s="472" t="s">
        <v>806</v>
      </c>
      <c r="I235" s="472" t="s">
        <v>807</v>
      </c>
      <c r="K235" s="473">
        <f t="shared" si="18"/>
        <v>2434.5178587535579</v>
      </c>
      <c r="M235" s="473">
        <v>2400</v>
      </c>
      <c r="N235" s="472">
        <v>2434.5178587535579</v>
      </c>
    </row>
    <row r="236" spans="1:14">
      <c r="A236" s="472">
        <v>3</v>
      </c>
      <c r="C236" s="472">
        <f t="shared" si="15"/>
        <v>23</v>
      </c>
      <c r="D236" s="472">
        <f t="shared" si="16"/>
        <v>23</v>
      </c>
      <c r="E236" s="472">
        <f t="shared" si="17"/>
        <v>15</v>
      </c>
      <c r="F236" s="472" t="str">
        <f t="shared" si="19"/>
        <v>pm</v>
      </c>
      <c r="G236" s="472" t="s">
        <v>808</v>
      </c>
      <c r="H236" s="472" t="s">
        <v>452</v>
      </c>
      <c r="I236" s="472" t="s">
        <v>809</v>
      </c>
      <c r="K236" s="473">
        <f t="shared" si="18"/>
        <v>2470.4772204216447</v>
      </c>
      <c r="M236" s="473">
        <v>2400</v>
      </c>
      <c r="N236" s="472">
        <v>2470.4772204216447</v>
      </c>
    </row>
    <row r="237" spans="1:14">
      <c r="A237" s="472">
        <v>1</v>
      </c>
      <c r="C237" s="472">
        <f t="shared" si="15"/>
        <v>24</v>
      </c>
      <c r="D237" s="472">
        <f t="shared" si="16"/>
        <v>24</v>
      </c>
      <c r="E237" s="472">
        <f t="shared" si="17"/>
        <v>15</v>
      </c>
      <c r="F237" s="472" t="str">
        <f t="shared" si="19"/>
        <v>odx</v>
      </c>
      <c r="G237" s="472" t="s">
        <v>810</v>
      </c>
      <c r="H237" s="472" t="s">
        <v>811</v>
      </c>
      <c r="I237" s="472" t="s">
        <v>812</v>
      </c>
      <c r="K237" s="473">
        <f t="shared" si="18"/>
        <v>2467.8081433375669</v>
      </c>
      <c r="M237" s="473">
        <v>2400</v>
      </c>
      <c r="N237" s="472">
        <v>2467.8081433375669</v>
      </c>
    </row>
    <row r="238" spans="1:14">
      <c r="A238" s="472">
        <v>2</v>
      </c>
      <c r="C238" s="472">
        <f t="shared" si="15"/>
        <v>25</v>
      </c>
      <c r="D238" s="472">
        <f t="shared" si="16"/>
        <v>25</v>
      </c>
      <c r="E238" s="472">
        <f t="shared" si="17"/>
        <v>15</v>
      </c>
      <c r="F238" s="472" t="str">
        <f t="shared" si="19"/>
        <v>pm</v>
      </c>
      <c r="G238" s="472" t="s">
        <v>813</v>
      </c>
      <c r="H238" s="472" t="s">
        <v>154</v>
      </c>
      <c r="I238" s="472" t="s">
        <v>814</v>
      </c>
      <c r="K238" s="473">
        <f t="shared" si="18"/>
        <v>2400</v>
      </c>
      <c r="M238" s="473">
        <v>2400</v>
      </c>
    </row>
    <row r="239" spans="1:14">
      <c r="A239" s="472">
        <v>2</v>
      </c>
      <c r="C239" s="472">
        <f t="shared" si="15"/>
        <v>26</v>
      </c>
      <c r="D239" s="472">
        <f t="shared" si="16"/>
        <v>25</v>
      </c>
      <c r="E239" s="472">
        <f t="shared" si="17"/>
        <v>15</v>
      </c>
      <c r="F239" s="472" t="str">
        <f t="shared" si="19"/>
        <v>pm</v>
      </c>
      <c r="G239" s="472" t="s">
        <v>815</v>
      </c>
      <c r="H239" s="472" t="s">
        <v>154</v>
      </c>
      <c r="I239" s="472" t="s">
        <v>816</v>
      </c>
      <c r="K239" s="473">
        <f t="shared" si="18"/>
        <v>2400</v>
      </c>
      <c r="M239" s="473">
        <v>2400</v>
      </c>
    </row>
    <row r="240" spans="1:14">
      <c r="A240" s="472">
        <v>2</v>
      </c>
      <c r="C240" s="472">
        <f t="shared" si="15"/>
        <v>27</v>
      </c>
      <c r="D240" s="472">
        <f t="shared" si="16"/>
        <v>25</v>
      </c>
      <c r="E240" s="472">
        <f t="shared" si="17"/>
        <v>15</v>
      </c>
      <c r="F240" s="472" t="str">
        <f t="shared" si="19"/>
        <v>pm</v>
      </c>
      <c r="G240" s="472" t="s">
        <v>817</v>
      </c>
      <c r="H240" s="472" t="s">
        <v>154</v>
      </c>
      <c r="I240" s="472" t="s">
        <v>818</v>
      </c>
      <c r="K240" s="473">
        <f t="shared" si="18"/>
        <v>2400</v>
      </c>
      <c r="M240" s="473">
        <v>2400</v>
      </c>
    </row>
    <row r="241" spans="1:14">
      <c r="A241" s="472">
        <v>2</v>
      </c>
      <c r="C241" s="472">
        <f t="shared" si="15"/>
        <v>28</v>
      </c>
      <c r="D241" s="472">
        <f t="shared" si="16"/>
        <v>25</v>
      </c>
      <c r="E241" s="472">
        <f t="shared" si="17"/>
        <v>15</v>
      </c>
      <c r="F241" s="472" t="str">
        <f t="shared" si="19"/>
        <v>pm</v>
      </c>
      <c r="G241" s="472" t="s">
        <v>819</v>
      </c>
      <c r="H241" s="472" t="s">
        <v>154</v>
      </c>
      <c r="I241" s="472" t="s">
        <v>820</v>
      </c>
      <c r="K241" s="473">
        <f t="shared" si="18"/>
        <v>2400</v>
      </c>
      <c r="M241" s="473">
        <v>2400</v>
      </c>
    </row>
    <row r="242" spans="1:14">
      <c r="A242" s="472">
        <v>1</v>
      </c>
      <c r="C242" s="472">
        <f t="shared" si="15"/>
        <v>29</v>
      </c>
      <c r="D242" s="472">
        <f t="shared" si="16"/>
        <v>25</v>
      </c>
      <c r="E242" s="472">
        <f t="shared" si="17"/>
        <v>15</v>
      </c>
      <c r="F242" s="472" t="str">
        <f t="shared" si="19"/>
        <v>sox</v>
      </c>
      <c r="G242" s="472" t="s">
        <v>821</v>
      </c>
      <c r="H242" s="472" t="s">
        <v>630</v>
      </c>
      <c r="I242" s="472" t="s">
        <v>822</v>
      </c>
      <c r="K242" s="473">
        <f t="shared" si="18"/>
        <v>2400</v>
      </c>
      <c r="M242" s="473">
        <v>2400</v>
      </c>
    </row>
    <row r="243" spans="1:14">
      <c r="A243" s="472">
        <v>2</v>
      </c>
      <c r="C243" s="472">
        <f t="shared" si="15"/>
        <v>30</v>
      </c>
      <c r="D243" s="472">
        <f t="shared" si="16"/>
        <v>30</v>
      </c>
      <c r="E243" s="472">
        <f t="shared" si="17"/>
        <v>15</v>
      </c>
      <c r="F243" s="472" t="str">
        <f t="shared" si="19"/>
        <v>pm</v>
      </c>
      <c r="G243" s="472" t="s">
        <v>823</v>
      </c>
      <c r="H243" s="472" t="s">
        <v>501</v>
      </c>
      <c r="I243" s="472" t="s">
        <v>824</v>
      </c>
      <c r="K243" s="473">
        <f t="shared" si="18"/>
        <v>2414.3713749158273</v>
      </c>
      <c r="M243" s="473">
        <v>2400</v>
      </c>
      <c r="N243" s="472">
        <v>2414.3713749158273</v>
      </c>
    </row>
    <row r="244" spans="1:14">
      <c r="A244" s="472">
        <v>2</v>
      </c>
      <c r="C244" s="472">
        <f t="shared" si="15"/>
        <v>31</v>
      </c>
      <c r="D244" s="472">
        <f t="shared" si="16"/>
        <v>31</v>
      </c>
      <c r="E244" s="472">
        <f t="shared" si="17"/>
        <v>15</v>
      </c>
      <c r="F244" s="472" t="str">
        <f t="shared" si="19"/>
        <v>pm</v>
      </c>
      <c r="G244" s="472" t="s">
        <v>825</v>
      </c>
      <c r="H244" s="472" t="s">
        <v>501</v>
      </c>
      <c r="I244" s="472" t="s">
        <v>826</v>
      </c>
      <c r="K244" s="473">
        <f t="shared" si="18"/>
        <v>2465.8103728705682</v>
      </c>
      <c r="M244" s="473">
        <v>2400</v>
      </c>
      <c r="N244" s="472">
        <v>2465.8103728705682</v>
      </c>
    </row>
    <row r="245" spans="1:14">
      <c r="A245" s="472">
        <v>3</v>
      </c>
      <c r="C245" s="472">
        <f t="shared" si="15"/>
        <v>32</v>
      </c>
      <c r="D245" s="472">
        <f t="shared" si="16"/>
        <v>32</v>
      </c>
      <c r="E245" s="472">
        <f t="shared" si="17"/>
        <v>15</v>
      </c>
      <c r="F245" s="472" t="str">
        <f t="shared" si="19"/>
        <v>pm</v>
      </c>
      <c r="G245" s="472" t="s">
        <v>827</v>
      </c>
      <c r="H245" s="472" t="s">
        <v>408</v>
      </c>
      <c r="I245" s="472" t="s">
        <v>828</v>
      </c>
      <c r="K245" s="473">
        <f t="shared" si="18"/>
        <v>2400</v>
      </c>
      <c r="M245" s="473">
        <v>2400</v>
      </c>
    </row>
    <row r="246" spans="1:14">
      <c r="A246" s="472">
        <v>5</v>
      </c>
      <c r="C246" s="472">
        <f t="shared" si="15"/>
        <v>33</v>
      </c>
      <c r="D246" s="472">
        <f t="shared" si="16"/>
        <v>33</v>
      </c>
      <c r="E246" s="472">
        <f t="shared" si="17"/>
        <v>15</v>
      </c>
      <c r="F246" s="472" t="str">
        <f t="shared" si="19"/>
        <v>pm</v>
      </c>
      <c r="G246" s="472" t="s">
        <v>829</v>
      </c>
      <c r="H246" s="472" t="s">
        <v>411</v>
      </c>
      <c r="I246" s="472" t="s">
        <v>830</v>
      </c>
      <c r="K246" s="473">
        <f t="shared" si="18"/>
        <v>2341.5835419232544</v>
      </c>
      <c r="M246" s="473">
        <v>2400</v>
      </c>
      <c r="N246" s="472">
        <v>2341.5835419232544</v>
      </c>
    </row>
    <row r="247" spans="1:14">
      <c r="A247" s="472">
        <v>7</v>
      </c>
      <c r="C247" s="472">
        <f t="shared" si="15"/>
        <v>34</v>
      </c>
      <c r="D247" s="472">
        <f t="shared" si="16"/>
        <v>34</v>
      </c>
      <c r="E247" s="472">
        <f t="shared" si="17"/>
        <v>15</v>
      </c>
      <c r="F247" s="472" t="str">
        <f t="shared" si="19"/>
        <v>pm</v>
      </c>
      <c r="G247" s="472" t="s">
        <v>831</v>
      </c>
      <c r="H247" s="472" t="s">
        <v>411</v>
      </c>
      <c r="I247" s="472" t="s">
        <v>832</v>
      </c>
      <c r="K247" s="473">
        <f t="shared" si="18"/>
        <v>2327.0564608218274</v>
      </c>
      <c r="M247" s="473">
        <v>2400</v>
      </c>
      <c r="N247" s="472">
        <v>2327.0564608218274</v>
      </c>
    </row>
    <row r="248" spans="1:14">
      <c r="A248" s="472">
        <v>4</v>
      </c>
      <c r="C248" s="472">
        <f t="shared" si="15"/>
        <v>35</v>
      </c>
      <c r="D248" s="472">
        <f t="shared" si="16"/>
        <v>35</v>
      </c>
      <c r="E248" s="472">
        <f t="shared" si="17"/>
        <v>15</v>
      </c>
      <c r="F248" s="472" t="str">
        <f t="shared" si="19"/>
        <v>pm</v>
      </c>
      <c r="G248" s="472" t="s">
        <v>833</v>
      </c>
      <c r="H248" s="472" t="s">
        <v>86</v>
      </c>
      <c r="I248" s="472" t="s">
        <v>834</v>
      </c>
      <c r="K248" s="473">
        <f t="shared" si="18"/>
        <v>2400</v>
      </c>
      <c r="M248" s="473">
        <v>2400</v>
      </c>
    </row>
    <row r="249" spans="1:14">
      <c r="A249" s="472">
        <v>1</v>
      </c>
      <c r="C249" s="472">
        <f t="shared" si="15"/>
        <v>36</v>
      </c>
      <c r="D249" s="472">
        <f t="shared" si="16"/>
        <v>35</v>
      </c>
      <c r="E249" s="472">
        <f t="shared" si="17"/>
        <v>15</v>
      </c>
      <c r="F249" s="472" t="str">
        <f t="shared" si="19"/>
        <v>crx</v>
      </c>
      <c r="G249" s="472" t="s">
        <v>835</v>
      </c>
      <c r="H249" s="472" t="s">
        <v>836</v>
      </c>
      <c r="I249" s="472" t="s">
        <v>837</v>
      </c>
      <c r="K249" s="473">
        <f t="shared" si="18"/>
        <v>2400</v>
      </c>
      <c r="M249" s="473">
        <v>2400</v>
      </c>
    </row>
    <row r="250" spans="1:14">
      <c r="A250" s="472">
        <v>1</v>
      </c>
      <c r="C250" s="472">
        <f t="shared" si="15"/>
        <v>37</v>
      </c>
      <c r="D250" s="472">
        <f t="shared" si="16"/>
        <v>35</v>
      </c>
      <c r="E250" s="472">
        <f t="shared" si="17"/>
        <v>15</v>
      </c>
      <c r="F250" s="472" t="str">
        <f t="shared" si="19"/>
        <v>crx</v>
      </c>
      <c r="G250" s="472" t="s">
        <v>838</v>
      </c>
      <c r="H250" s="472" t="s">
        <v>836</v>
      </c>
      <c r="I250" s="472" t="s">
        <v>839</v>
      </c>
      <c r="K250" s="473">
        <f t="shared" si="18"/>
        <v>2400</v>
      </c>
      <c r="M250" s="473">
        <v>2400</v>
      </c>
    </row>
    <row r="251" spans="1:14">
      <c r="A251" s="472">
        <v>1</v>
      </c>
      <c r="C251" s="472">
        <f t="shared" si="15"/>
        <v>38</v>
      </c>
      <c r="D251" s="472">
        <f t="shared" si="16"/>
        <v>35</v>
      </c>
      <c r="E251" s="472">
        <f t="shared" si="17"/>
        <v>15</v>
      </c>
      <c r="F251" s="472" t="str">
        <f t="shared" si="19"/>
        <v>crx</v>
      </c>
      <c r="G251" s="472" t="s">
        <v>840</v>
      </c>
      <c r="H251" s="472" t="s">
        <v>470</v>
      </c>
      <c r="I251" s="472" t="s">
        <v>841</v>
      </c>
      <c r="K251" s="473">
        <f t="shared" si="18"/>
        <v>2400</v>
      </c>
      <c r="M251" s="473">
        <v>2400</v>
      </c>
    </row>
    <row r="252" spans="1:14">
      <c r="A252" s="472">
        <v>2</v>
      </c>
      <c r="C252" s="472">
        <f t="shared" si="15"/>
        <v>39</v>
      </c>
      <c r="D252" s="472">
        <f t="shared" si="16"/>
        <v>39</v>
      </c>
      <c r="E252" s="472">
        <f t="shared" si="17"/>
        <v>15</v>
      </c>
      <c r="F252" s="472" t="str">
        <f t="shared" si="19"/>
        <v>cr</v>
      </c>
      <c r="G252" s="472" t="s">
        <v>842</v>
      </c>
      <c r="H252" s="472" t="s">
        <v>843</v>
      </c>
      <c r="I252" s="472" t="s">
        <v>844</v>
      </c>
      <c r="K252" s="473">
        <f t="shared" si="18"/>
        <v>2413.9498949555532</v>
      </c>
      <c r="M252" s="473">
        <v>2400</v>
      </c>
      <c r="N252" s="472">
        <v>2413.9498949555532</v>
      </c>
    </row>
    <row r="253" spans="1:14">
      <c r="A253" s="472">
        <v>1</v>
      </c>
      <c r="C253" s="472">
        <f t="shared" si="15"/>
        <v>40</v>
      </c>
      <c r="D253" s="472">
        <f t="shared" si="16"/>
        <v>40</v>
      </c>
      <c r="E253" s="472">
        <f t="shared" si="17"/>
        <v>15</v>
      </c>
      <c r="F253" s="472" t="str">
        <f t="shared" si="19"/>
        <v>crx</v>
      </c>
      <c r="G253" s="472" t="s">
        <v>845</v>
      </c>
      <c r="H253" s="472" t="s">
        <v>846</v>
      </c>
      <c r="I253" s="472" t="s">
        <v>847</v>
      </c>
      <c r="K253" s="473">
        <f t="shared" si="18"/>
        <v>2400</v>
      </c>
      <c r="M253" s="473">
        <v>2400</v>
      </c>
    </row>
    <row r="254" spans="1:14">
      <c r="A254" s="472">
        <v>4</v>
      </c>
      <c r="C254" s="472">
        <f t="shared" si="15"/>
        <v>41</v>
      </c>
      <c r="D254" s="472">
        <f t="shared" si="16"/>
        <v>41</v>
      </c>
      <c r="E254" s="472">
        <f t="shared" si="17"/>
        <v>15</v>
      </c>
      <c r="F254" s="472" t="str">
        <f t="shared" si="19"/>
        <v>pm</v>
      </c>
      <c r="G254" s="472" t="s">
        <v>848</v>
      </c>
      <c r="H254" s="472" t="s">
        <v>654</v>
      </c>
      <c r="I254" s="472" t="s">
        <v>849</v>
      </c>
      <c r="K254" s="473">
        <f t="shared" si="18"/>
        <v>2300.1136222741839</v>
      </c>
      <c r="M254" s="473">
        <v>2400</v>
      </c>
      <c r="N254" s="472">
        <v>2300.1136222741839</v>
      </c>
    </row>
    <row r="255" spans="1:14">
      <c r="A255" s="472">
        <v>1</v>
      </c>
      <c r="C255" s="472">
        <f t="shared" si="15"/>
        <v>42</v>
      </c>
      <c r="D255" s="472">
        <f t="shared" si="16"/>
        <v>42</v>
      </c>
      <c r="E255" s="472">
        <f t="shared" si="17"/>
        <v>15</v>
      </c>
      <c r="F255" s="472" t="str">
        <f t="shared" si="19"/>
        <v>pmx</v>
      </c>
      <c r="G255" s="472" t="s">
        <v>850</v>
      </c>
      <c r="H255" s="472" t="s">
        <v>346</v>
      </c>
      <c r="I255" s="472" t="s">
        <v>851</v>
      </c>
      <c r="K255" s="473">
        <f t="shared" si="18"/>
        <v>2400</v>
      </c>
      <c r="M255" s="473">
        <v>2400</v>
      </c>
    </row>
    <row r="256" spans="1:14">
      <c r="A256" s="472">
        <v>1</v>
      </c>
      <c r="C256" s="472">
        <f t="shared" si="15"/>
        <v>43</v>
      </c>
      <c r="D256" s="472">
        <f t="shared" si="16"/>
        <v>42</v>
      </c>
      <c r="E256" s="472">
        <f t="shared" si="17"/>
        <v>15</v>
      </c>
      <c r="F256" s="472" t="str">
        <f t="shared" si="19"/>
        <v>pmx</v>
      </c>
      <c r="G256" s="472" t="s">
        <v>852</v>
      </c>
      <c r="H256" s="472" t="s">
        <v>346</v>
      </c>
      <c r="I256" s="472" t="s">
        <v>853</v>
      </c>
      <c r="K256" s="473">
        <f t="shared" si="18"/>
        <v>2400</v>
      </c>
      <c r="M256" s="473">
        <v>2400</v>
      </c>
    </row>
    <row r="257" spans="1:15">
      <c r="A257" s="472">
        <v>3</v>
      </c>
      <c r="C257" s="472">
        <f t="shared" si="15"/>
        <v>44</v>
      </c>
      <c r="D257" s="472">
        <f t="shared" si="16"/>
        <v>42</v>
      </c>
      <c r="E257" s="472">
        <f t="shared" si="17"/>
        <v>15</v>
      </c>
      <c r="F257" s="472" t="str">
        <f t="shared" si="19"/>
        <v>pm</v>
      </c>
      <c r="G257" s="472" t="s">
        <v>854</v>
      </c>
      <c r="H257" s="472" t="s">
        <v>483</v>
      </c>
      <c r="I257" s="472" t="s">
        <v>855</v>
      </c>
      <c r="K257" s="473">
        <f t="shared" si="18"/>
        <v>2400</v>
      </c>
      <c r="M257" s="473">
        <v>2400</v>
      </c>
    </row>
    <row r="258" spans="1:15">
      <c r="A258" s="472">
        <v>6</v>
      </c>
      <c r="C258" s="472">
        <f t="shared" ref="C258:C321" si="20">IF(E258=E257,C257+1,1)</f>
        <v>45</v>
      </c>
      <c r="D258" s="472">
        <f t="shared" ref="D258:D321" si="21">IF(K258=K257,D257,C258)</f>
        <v>45</v>
      </c>
      <c r="E258" s="472">
        <f t="shared" ref="E258:E321" si="22">10+VALUE(RIGHT(LEFT(G258,3),1))</f>
        <v>15</v>
      </c>
      <c r="F258" s="472" t="str">
        <f t="shared" si="19"/>
        <v>pm</v>
      </c>
      <c r="G258" s="472" t="s">
        <v>856</v>
      </c>
      <c r="H258" s="472" t="s">
        <v>386</v>
      </c>
      <c r="I258" s="472" t="s">
        <v>857</v>
      </c>
      <c r="K258" s="473">
        <f t="shared" ref="K258:K321" si="23">LOOKUP(1E+100,M258:AC258)</f>
        <v>2181.068342313471</v>
      </c>
      <c r="M258" s="473">
        <v>2333.3333333333335</v>
      </c>
      <c r="O258" s="472">
        <v>2181.068342313471</v>
      </c>
    </row>
    <row r="259" spans="1:15">
      <c r="A259" s="472">
        <v>4</v>
      </c>
      <c r="C259" s="472">
        <f t="shared" si="20"/>
        <v>46</v>
      </c>
      <c r="D259" s="472">
        <f t="shared" si="21"/>
        <v>46</v>
      </c>
      <c r="E259" s="472">
        <f t="shared" si="22"/>
        <v>15</v>
      </c>
      <c r="F259" s="472" t="str">
        <f t="shared" ref="F259:F322" si="24">RIGHT(G259,2) &amp; IF(A259&lt;2,"x","")</f>
        <v>pm</v>
      </c>
      <c r="G259" s="472" t="s">
        <v>858</v>
      </c>
      <c r="H259" s="472" t="s">
        <v>92</v>
      </c>
      <c r="I259" s="472" t="s">
        <v>859</v>
      </c>
      <c r="K259" s="473">
        <f t="shared" si="23"/>
        <v>2300</v>
      </c>
      <c r="M259" s="473">
        <v>2300</v>
      </c>
    </row>
    <row r="260" spans="1:15">
      <c r="A260" s="472">
        <v>4</v>
      </c>
      <c r="C260" s="472">
        <f t="shared" si="20"/>
        <v>47</v>
      </c>
      <c r="D260" s="472">
        <f t="shared" si="21"/>
        <v>47</v>
      </c>
      <c r="E260" s="472">
        <f t="shared" si="22"/>
        <v>15</v>
      </c>
      <c r="F260" s="472" t="str">
        <f t="shared" si="24"/>
        <v>pm</v>
      </c>
      <c r="G260" s="472" t="s">
        <v>860</v>
      </c>
      <c r="H260" s="472" t="s">
        <v>408</v>
      </c>
      <c r="I260" s="472" t="s">
        <v>861</v>
      </c>
      <c r="K260" s="473">
        <f t="shared" si="23"/>
        <v>2235.0356284950308</v>
      </c>
      <c r="M260" s="473">
        <v>2300</v>
      </c>
      <c r="O260" s="472">
        <v>2235.0356284950308</v>
      </c>
    </row>
    <row r="261" spans="1:15">
      <c r="A261" s="472">
        <v>5</v>
      </c>
      <c r="C261" s="472">
        <f t="shared" si="20"/>
        <v>48</v>
      </c>
      <c r="D261" s="472">
        <f t="shared" si="21"/>
        <v>48</v>
      </c>
      <c r="E261" s="472">
        <f t="shared" si="22"/>
        <v>15</v>
      </c>
      <c r="F261" s="472" t="str">
        <f t="shared" si="24"/>
        <v>pm</v>
      </c>
      <c r="G261" s="472" t="s">
        <v>862</v>
      </c>
      <c r="H261" s="472" t="s">
        <v>337</v>
      </c>
      <c r="I261" s="472" t="s">
        <v>863</v>
      </c>
      <c r="K261" s="473">
        <f t="shared" si="23"/>
        <v>2166.7401209474078</v>
      </c>
      <c r="M261" s="473">
        <v>2160</v>
      </c>
      <c r="O261" s="472">
        <v>2166.7401209474078</v>
      </c>
    </row>
    <row r="262" spans="1:15">
      <c r="A262" s="472">
        <v>6</v>
      </c>
      <c r="C262" s="472">
        <f t="shared" si="20"/>
        <v>49</v>
      </c>
      <c r="D262" s="472">
        <f t="shared" si="21"/>
        <v>49</v>
      </c>
      <c r="E262" s="472">
        <f t="shared" si="22"/>
        <v>15</v>
      </c>
      <c r="F262" s="472" t="str">
        <f t="shared" si="24"/>
        <v>pm</v>
      </c>
      <c r="G262" s="472" t="s">
        <v>864</v>
      </c>
      <c r="H262" s="472" t="s">
        <v>671</v>
      </c>
      <c r="I262" s="472" t="s">
        <v>865</v>
      </c>
      <c r="K262" s="473">
        <f t="shared" si="23"/>
        <v>2144.1217834697964</v>
      </c>
      <c r="M262" s="473">
        <v>2066.6666666666665</v>
      </c>
      <c r="O262" s="472">
        <v>2144.1217834697964</v>
      </c>
    </row>
    <row r="263" spans="1:15">
      <c r="A263" s="472">
        <v>3</v>
      </c>
      <c r="C263" s="472">
        <f t="shared" si="20"/>
        <v>50</v>
      </c>
      <c r="D263" s="472">
        <f t="shared" si="21"/>
        <v>50</v>
      </c>
      <c r="E263" s="472">
        <f t="shared" si="22"/>
        <v>15</v>
      </c>
      <c r="F263" s="472" t="str">
        <f t="shared" si="24"/>
        <v>so</v>
      </c>
      <c r="G263" s="472" t="s">
        <v>866</v>
      </c>
      <c r="H263" s="472" t="s">
        <v>867</v>
      </c>
      <c r="I263" s="472" t="s">
        <v>868</v>
      </c>
      <c r="K263" s="473">
        <f t="shared" si="23"/>
        <v>2066.6666666666665</v>
      </c>
      <c r="M263" s="473">
        <v>2066.6666666666665</v>
      </c>
    </row>
    <row r="264" spans="1:15">
      <c r="A264" s="472">
        <v>5</v>
      </c>
      <c r="C264" s="472">
        <f t="shared" si="20"/>
        <v>51</v>
      </c>
      <c r="D264" s="472">
        <f t="shared" si="21"/>
        <v>51</v>
      </c>
      <c r="E264" s="472">
        <f t="shared" si="22"/>
        <v>15</v>
      </c>
      <c r="F264" s="472" t="str">
        <f t="shared" si="24"/>
        <v>pm</v>
      </c>
      <c r="G264" s="472" t="s">
        <v>869</v>
      </c>
      <c r="H264" s="472" t="s">
        <v>870</v>
      </c>
      <c r="I264" s="472" t="s">
        <v>871</v>
      </c>
      <c r="K264" s="473">
        <f t="shared" si="23"/>
        <v>1945.5835796928918</v>
      </c>
      <c r="M264" s="473">
        <v>2000</v>
      </c>
      <c r="O264" s="472">
        <v>1945.5835796928918</v>
      </c>
    </row>
    <row r="265" spans="1:15">
      <c r="A265" s="472">
        <v>1</v>
      </c>
      <c r="C265" s="472">
        <f t="shared" si="20"/>
        <v>52</v>
      </c>
      <c r="D265" s="472">
        <f t="shared" si="21"/>
        <v>52</v>
      </c>
      <c r="E265" s="472">
        <f t="shared" si="22"/>
        <v>15</v>
      </c>
      <c r="F265" s="472" t="str">
        <f t="shared" si="24"/>
        <v>crx</v>
      </c>
      <c r="G265" s="472" t="s">
        <v>872</v>
      </c>
      <c r="H265" s="472" t="s">
        <v>873</v>
      </c>
      <c r="I265" s="472" t="s">
        <v>874</v>
      </c>
      <c r="K265" s="473">
        <f t="shared" si="23"/>
        <v>2067.7629540639618</v>
      </c>
      <c r="M265" s="473">
        <v>2000</v>
      </c>
      <c r="O265" s="472">
        <v>2067.7629540639618</v>
      </c>
    </row>
    <row r="266" spans="1:15">
      <c r="A266" s="472">
        <v>3</v>
      </c>
      <c r="C266" s="472">
        <f t="shared" si="20"/>
        <v>53</v>
      </c>
      <c r="D266" s="472">
        <f t="shared" si="21"/>
        <v>53</v>
      </c>
      <c r="E266" s="472">
        <f t="shared" si="22"/>
        <v>15</v>
      </c>
      <c r="F266" s="472" t="str">
        <f t="shared" si="24"/>
        <v>pm</v>
      </c>
      <c r="G266" s="472" t="s">
        <v>875</v>
      </c>
      <c r="H266" s="472" t="s">
        <v>876</v>
      </c>
      <c r="I266" s="472" t="s">
        <v>877</v>
      </c>
      <c r="K266" s="473">
        <f t="shared" si="23"/>
        <v>2000</v>
      </c>
      <c r="M266" s="473">
        <v>2000</v>
      </c>
    </row>
    <row r="267" spans="1:15">
      <c r="A267" s="472">
        <v>2</v>
      </c>
      <c r="C267" s="472">
        <f t="shared" si="20"/>
        <v>54</v>
      </c>
      <c r="D267" s="472">
        <f t="shared" si="21"/>
        <v>53</v>
      </c>
      <c r="E267" s="472">
        <f t="shared" si="22"/>
        <v>15</v>
      </c>
      <c r="F267" s="472" t="str">
        <f t="shared" si="24"/>
        <v>cr</v>
      </c>
      <c r="G267" s="472" t="s">
        <v>878</v>
      </c>
      <c r="H267" s="472" t="s">
        <v>340</v>
      </c>
      <c r="I267" s="472" t="s">
        <v>879</v>
      </c>
      <c r="K267" s="473">
        <f t="shared" si="23"/>
        <v>2000</v>
      </c>
      <c r="M267" s="473">
        <v>2000</v>
      </c>
    </row>
    <row r="268" spans="1:15">
      <c r="A268" s="472">
        <v>1</v>
      </c>
      <c r="C268" s="472">
        <f t="shared" si="20"/>
        <v>55</v>
      </c>
      <c r="D268" s="472">
        <f t="shared" si="21"/>
        <v>55</v>
      </c>
      <c r="E268" s="472">
        <f t="shared" si="22"/>
        <v>15</v>
      </c>
      <c r="F268" s="472" t="str">
        <f t="shared" si="24"/>
        <v>pmx</v>
      </c>
      <c r="G268" s="472" t="s">
        <v>880</v>
      </c>
      <c r="H268" s="472" t="s">
        <v>343</v>
      </c>
      <c r="I268" s="472" t="s">
        <v>881</v>
      </c>
      <c r="K268" s="473">
        <f t="shared" si="23"/>
        <v>1956.945013216829</v>
      </c>
      <c r="M268" s="473">
        <v>2000</v>
      </c>
      <c r="O268" s="472">
        <v>1956.945013216829</v>
      </c>
    </row>
    <row r="269" spans="1:15">
      <c r="A269" s="472">
        <v>2</v>
      </c>
      <c r="C269" s="472">
        <f t="shared" si="20"/>
        <v>56</v>
      </c>
      <c r="D269" s="472">
        <f t="shared" si="21"/>
        <v>56</v>
      </c>
      <c r="E269" s="472">
        <f t="shared" si="22"/>
        <v>15</v>
      </c>
      <c r="F269" s="472" t="str">
        <f t="shared" si="24"/>
        <v>pm</v>
      </c>
      <c r="G269" s="472" t="s">
        <v>882</v>
      </c>
      <c r="H269" s="472" t="s">
        <v>370</v>
      </c>
      <c r="I269" s="472" t="s">
        <v>883</v>
      </c>
      <c r="K269" s="473">
        <f t="shared" si="23"/>
        <v>2026.0099610120353</v>
      </c>
      <c r="M269" s="473">
        <v>2000</v>
      </c>
      <c r="O269" s="472">
        <v>2026.0099610120353</v>
      </c>
    </row>
    <row r="270" spans="1:15">
      <c r="A270" s="472">
        <v>1</v>
      </c>
      <c r="C270" s="472">
        <f t="shared" si="20"/>
        <v>57</v>
      </c>
      <c r="D270" s="472">
        <f t="shared" si="21"/>
        <v>57</v>
      </c>
      <c r="E270" s="472">
        <f t="shared" si="22"/>
        <v>15</v>
      </c>
      <c r="F270" s="472" t="str">
        <f t="shared" si="24"/>
        <v>crx</v>
      </c>
      <c r="G270" s="472" t="s">
        <v>884</v>
      </c>
      <c r="H270" s="472" t="s">
        <v>440</v>
      </c>
      <c r="I270" s="472" t="s">
        <v>885</v>
      </c>
      <c r="K270" s="473">
        <f t="shared" si="23"/>
        <v>2186.2537904112141</v>
      </c>
      <c r="M270" s="473">
        <v>2000</v>
      </c>
      <c r="O270" s="472">
        <v>2186.2537904112141</v>
      </c>
    </row>
    <row r="271" spans="1:15">
      <c r="A271" s="472">
        <v>3</v>
      </c>
      <c r="C271" s="472">
        <f t="shared" si="20"/>
        <v>58</v>
      </c>
      <c r="D271" s="472">
        <f t="shared" si="21"/>
        <v>58</v>
      </c>
      <c r="E271" s="472">
        <f t="shared" si="22"/>
        <v>15</v>
      </c>
      <c r="F271" s="472" t="str">
        <f t="shared" si="24"/>
        <v>pm</v>
      </c>
      <c r="G271" s="472" t="s">
        <v>886</v>
      </c>
      <c r="H271" s="472" t="s">
        <v>331</v>
      </c>
      <c r="I271" s="472" t="s">
        <v>887</v>
      </c>
      <c r="K271" s="473">
        <f t="shared" si="23"/>
        <v>1946.6508848780252</v>
      </c>
      <c r="M271" s="473">
        <v>2000</v>
      </c>
      <c r="O271" s="472">
        <v>1946.6508848780252</v>
      </c>
    </row>
    <row r="272" spans="1:15">
      <c r="A272" s="472">
        <v>6</v>
      </c>
      <c r="C272" s="472">
        <f t="shared" si="20"/>
        <v>59</v>
      </c>
      <c r="D272" s="472">
        <f t="shared" si="21"/>
        <v>59</v>
      </c>
      <c r="E272" s="472">
        <f t="shared" si="22"/>
        <v>15</v>
      </c>
      <c r="F272" s="472" t="str">
        <f t="shared" si="24"/>
        <v>pm</v>
      </c>
      <c r="G272" s="472" t="s">
        <v>888</v>
      </c>
      <c r="H272" s="472" t="s">
        <v>386</v>
      </c>
      <c r="I272" s="472" t="s">
        <v>889</v>
      </c>
      <c r="K272" s="473">
        <f t="shared" si="23"/>
        <v>1899.8845696374212</v>
      </c>
      <c r="M272" s="473">
        <v>2000</v>
      </c>
      <c r="O272" s="472">
        <v>1899.8845696374212</v>
      </c>
    </row>
    <row r="273" spans="1:15">
      <c r="A273" s="472">
        <v>5</v>
      </c>
      <c r="C273" s="472">
        <f t="shared" si="20"/>
        <v>60</v>
      </c>
      <c r="D273" s="472">
        <f t="shared" si="21"/>
        <v>60</v>
      </c>
      <c r="E273" s="472">
        <f t="shared" si="22"/>
        <v>15</v>
      </c>
      <c r="F273" s="472" t="str">
        <f t="shared" si="24"/>
        <v>pm</v>
      </c>
      <c r="G273" s="472" t="s">
        <v>890</v>
      </c>
      <c r="H273" s="472" t="s">
        <v>301</v>
      </c>
      <c r="I273" s="472" t="s">
        <v>891</v>
      </c>
      <c r="K273" s="473">
        <f t="shared" si="23"/>
        <v>2082.3894703533642</v>
      </c>
      <c r="M273" s="473">
        <v>2000</v>
      </c>
      <c r="O273" s="472">
        <v>2082.3894703533642</v>
      </c>
    </row>
    <row r="274" spans="1:15">
      <c r="A274" s="472">
        <v>2</v>
      </c>
      <c r="C274" s="472">
        <f t="shared" si="20"/>
        <v>61</v>
      </c>
      <c r="D274" s="472">
        <f t="shared" si="21"/>
        <v>61</v>
      </c>
      <c r="E274" s="472">
        <f t="shared" si="22"/>
        <v>15</v>
      </c>
      <c r="F274" s="472" t="str">
        <f t="shared" si="24"/>
        <v>pm</v>
      </c>
      <c r="G274" s="472" t="s">
        <v>892</v>
      </c>
      <c r="H274" s="472" t="s">
        <v>92</v>
      </c>
      <c r="I274" s="472" t="s">
        <v>893</v>
      </c>
      <c r="K274" s="473">
        <f t="shared" si="23"/>
        <v>2000</v>
      </c>
      <c r="M274" s="473">
        <v>2000</v>
      </c>
    </row>
    <row r="275" spans="1:15">
      <c r="A275" s="472">
        <v>4</v>
      </c>
      <c r="C275" s="472">
        <f t="shared" si="20"/>
        <v>62</v>
      </c>
      <c r="D275" s="472">
        <f t="shared" si="21"/>
        <v>61</v>
      </c>
      <c r="E275" s="472">
        <f t="shared" si="22"/>
        <v>15</v>
      </c>
      <c r="F275" s="472" t="str">
        <f t="shared" si="24"/>
        <v>pm</v>
      </c>
      <c r="G275" s="472" t="s">
        <v>894</v>
      </c>
      <c r="H275" s="472" t="s">
        <v>397</v>
      </c>
      <c r="I275" s="472" t="s">
        <v>895</v>
      </c>
      <c r="K275" s="473">
        <f t="shared" si="23"/>
        <v>2000</v>
      </c>
      <c r="M275" s="473">
        <v>2000</v>
      </c>
    </row>
    <row r="276" spans="1:15">
      <c r="A276" s="472">
        <v>5</v>
      </c>
      <c r="C276" s="472">
        <f t="shared" si="20"/>
        <v>63</v>
      </c>
      <c r="D276" s="472">
        <f t="shared" si="21"/>
        <v>61</v>
      </c>
      <c r="E276" s="472">
        <f t="shared" si="22"/>
        <v>15</v>
      </c>
      <c r="F276" s="472" t="str">
        <f t="shared" si="24"/>
        <v>pm</v>
      </c>
      <c r="G276" s="472" t="s">
        <v>896</v>
      </c>
      <c r="H276" s="472" t="s">
        <v>402</v>
      </c>
      <c r="I276" s="472" t="s">
        <v>897</v>
      </c>
      <c r="K276" s="473">
        <f t="shared" si="23"/>
        <v>2000</v>
      </c>
      <c r="M276" s="473">
        <v>2000</v>
      </c>
    </row>
    <row r="277" spans="1:15">
      <c r="A277" s="472">
        <v>5</v>
      </c>
      <c r="C277" s="472">
        <f t="shared" si="20"/>
        <v>64</v>
      </c>
      <c r="D277" s="472">
        <f t="shared" si="21"/>
        <v>61</v>
      </c>
      <c r="E277" s="472">
        <f t="shared" si="22"/>
        <v>15</v>
      </c>
      <c r="F277" s="472" t="str">
        <f t="shared" si="24"/>
        <v>pm</v>
      </c>
      <c r="G277" s="472" t="s">
        <v>898</v>
      </c>
      <c r="H277" s="472" t="s">
        <v>402</v>
      </c>
      <c r="I277" s="472" t="s">
        <v>899</v>
      </c>
      <c r="K277" s="473">
        <f t="shared" si="23"/>
        <v>2000</v>
      </c>
      <c r="M277" s="473">
        <v>2000</v>
      </c>
    </row>
    <row r="278" spans="1:15">
      <c r="A278" s="472">
        <v>6</v>
      </c>
      <c r="C278" s="472">
        <f t="shared" si="20"/>
        <v>65</v>
      </c>
      <c r="D278" s="472">
        <f t="shared" si="21"/>
        <v>65</v>
      </c>
      <c r="E278" s="472">
        <f t="shared" si="22"/>
        <v>15</v>
      </c>
      <c r="F278" s="472" t="str">
        <f t="shared" si="24"/>
        <v>pm</v>
      </c>
      <c r="G278" s="472" t="s">
        <v>900</v>
      </c>
      <c r="H278" s="472" t="s">
        <v>421</v>
      </c>
      <c r="I278" s="472" t="s">
        <v>901</v>
      </c>
      <c r="K278" s="473">
        <f t="shared" si="23"/>
        <v>2021.5539015085499</v>
      </c>
      <c r="M278" s="473">
        <v>2000</v>
      </c>
      <c r="O278" s="472">
        <v>2021.5539015085499</v>
      </c>
    </row>
    <row r="279" spans="1:15">
      <c r="A279" s="472">
        <v>2</v>
      </c>
      <c r="C279" s="472">
        <f t="shared" si="20"/>
        <v>66</v>
      </c>
      <c r="D279" s="472">
        <f t="shared" si="21"/>
        <v>66</v>
      </c>
      <c r="E279" s="472">
        <f t="shared" si="22"/>
        <v>15</v>
      </c>
      <c r="F279" s="472" t="str">
        <f t="shared" si="24"/>
        <v>cr</v>
      </c>
      <c r="G279" s="472" t="s">
        <v>902</v>
      </c>
      <c r="H279" s="472" t="s">
        <v>405</v>
      </c>
      <c r="I279" s="472" t="s">
        <v>903</v>
      </c>
      <c r="K279" s="473">
        <f t="shared" si="23"/>
        <v>2000</v>
      </c>
      <c r="M279" s="473">
        <v>2000</v>
      </c>
    </row>
    <row r="280" spans="1:15">
      <c r="A280" s="472">
        <v>2</v>
      </c>
      <c r="C280" s="472">
        <f t="shared" si="20"/>
        <v>67</v>
      </c>
      <c r="D280" s="472">
        <f t="shared" si="21"/>
        <v>66</v>
      </c>
      <c r="E280" s="472">
        <f t="shared" si="22"/>
        <v>15</v>
      </c>
      <c r="F280" s="472" t="str">
        <f t="shared" si="24"/>
        <v>pm</v>
      </c>
      <c r="G280" s="472" t="s">
        <v>904</v>
      </c>
      <c r="H280" s="472" t="s">
        <v>154</v>
      </c>
      <c r="I280" s="472" t="s">
        <v>905</v>
      </c>
      <c r="K280" s="473">
        <f t="shared" si="23"/>
        <v>2000</v>
      </c>
      <c r="M280" s="473">
        <v>2000</v>
      </c>
    </row>
    <row r="281" spans="1:15">
      <c r="A281" s="472">
        <v>1</v>
      </c>
      <c r="C281" s="472">
        <f t="shared" si="20"/>
        <v>68</v>
      </c>
      <c r="D281" s="472">
        <f t="shared" si="21"/>
        <v>66</v>
      </c>
      <c r="E281" s="472">
        <f t="shared" si="22"/>
        <v>15</v>
      </c>
      <c r="F281" s="472" t="str">
        <f t="shared" si="24"/>
        <v>pmx</v>
      </c>
      <c r="G281" s="472" t="s">
        <v>906</v>
      </c>
      <c r="H281" s="472" t="s">
        <v>154</v>
      </c>
      <c r="I281" s="472" t="s">
        <v>907</v>
      </c>
      <c r="K281" s="473">
        <f t="shared" si="23"/>
        <v>2000</v>
      </c>
      <c r="M281" s="473">
        <v>2000</v>
      </c>
    </row>
    <row r="282" spans="1:15">
      <c r="A282" s="472">
        <v>5</v>
      </c>
      <c r="C282" s="472">
        <f t="shared" si="20"/>
        <v>69</v>
      </c>
      <c r="D282" s="472">
        <f t="shared" si="21"/>
        <v>66</v>
      </c>
      <c r="E282" s="472">
        <f t="shared" si="22"/>
        <v>15</v>
      </c>
      <c r="F282" s="472" t="str">
        <f t="shared" si="24"/>
        <v>pm</v>
      </c>
      <c r="G282" s="472" t="s">
        <v>908</v>
      </c>
      <c r="H282" s="472" t="s">
        <v>86</v>
      </c>
      <c r="I282" s="472" t="s">
        <v>909</v>
      </c>
      <c r="K282" s="473">
        <f t="shared" si="23"/>
        <v>2000</v>
      </c>
      <c r="M282" s="473">
        <v>2000</v>
      </c>
    </row>
    <row r="283" spans="1:15">
      <c r="A283" s="472">
        <v>1</v>
      </c>
      <c r="C283" s="472">
        <f t="shared" si="20"/>
        <v>70</v>
      </c>
      <c r="D283" s="472">
        <f t="shared" si="21"/>
        <v>66</v>
      </c>
      <c r="E283" s="472">
        <f t="shared" si="22"/>
        <v>15</v>
      </c>
      <c r="F283" s="472" t="str">
        <f t="shared" si="24"/>
        <v>sox</v>
      </c>
      <c r="G283" s="472" t="s">
        <v>910</v>
      </c>
      <c r="H283" s="472" t="s">
        <v>754</v>
      </c>
      <c r="I283" s="472" t="s">
        <v>911</v>
      </c>
      <c r="K283" s="473">
        <f t="shared" si="23"/>
        <v>2000</v>
      </c>
      <c r="M283" s="473">
        <v>2000</v>
      </c>
    </row>
    <row r="284" spans="1:15">
      <c r="A284" s="472">
        <v>2</v>
      </c>
      <c r="C284" s="472">
        <f t="shared" si="20"/>
        <v>1</v>
      </c>
      <c r="D284" s="472">
        <f t="shared" si="21"/>
        <v>1</v>
      </c>
      <c r="E284" s="472">
        <f t="shared" si="22"/>
        <v>16</v>
      </c>
      <c r="F284" s="472" t="str">
        <f t="shared" si="24"/>
        <v>pm</v>
      </c>
      <c r="G284" s="472" t="s">
        <v>912</v>
      </c>
      <c r="H284" s="472" t="s">
        <v>86</v>
      </c>
      <c r="I284" s="472" t="s">
        <v>913</v>
      </c>
      <c r="K284" s="473">
        <f t="shared" si="23"/>
        <v>2700</v>
      </c>
      <c r="M284" s="473">
        <v>2700</v>
      </c>
    </row>
    <row r="285" spans="1:15">
      <c r="A285" s="472">
        <v>4</v>
      </c>
      <c r="C285" s="472">
        <f t="shared" si="20"/>
        <v>2</v>
      </c>
      <c r="D285" s="472">
        <f t="shared" si="21"/>
        <v>2</v>
      </c>
      <c r="E285" s="472">
        <f t="shared" si="22"/>
        <v>16</v>
      </c>
      <c r="F285" s="472" t="str">
        <f t="shared" si="24"/>
        <v>pm</v>
      </c>
      <c r="G285" s="472" t="s">
        <v>914</v>
      </c>
      <c r="H285" s="472" t="s">
        <v>123</v>
      </c>
      <c r="I285" s="472" t="s">
        <v>915</v>
      </c>
      <c r="K285" s="473">
        <f t="shared" si="23"/>
        <v>2541.8096327890298</v>
      </c>
      <c r="M285" s="473">
        <v>2600</v>
      </c>
      <c r="N285" s="472">
        <v>2541.8096327890298</v>
      </c>
    </row>
    <row r="286" spans="1:15">
      <c r="A286" s="472">
        <v>1</v>
      </c>
      <c r="C286" s="472">
        <f t="shared" si="20"/>
        <v>3</v>
      </c>
      <c r="D286" s="472">
        <f t="shared" si="21"/>
        <v>3</v>
      </c>
      <c r="E286" s="472">
        <f t="shared" si="22"/>
        <v>16</v>
      </c>
      <c r="F286" s="472" t="str">
        <f t="shared" si="24"/>
        <v>sox</v>
      </c>
      <c r="G286" s="472" t="s">
        <v>916</v>
      </c>
      <c r="H286" s="472" t="s">
        <v>351</v>
      </c>
      <c r="I286" s="472" t="s">
        <v>917</v>
      </c>
      <c r="K286" s="473">
        <f t="shared" si="23"/>
        <v>2600</v>
      </c>
      <c r="M286" s="473">
        <v>2600</v>
      </c>
    </row>
    <row r="287" spans="1:15">
      <c r="A287" s="472">
        <v>1</v>
      </c>
      <c r="C287" s="472">
        <f t="shared" si="20"/>
        <v>4</v>
      </c>
      <c r="D287" s="472">
        <f t="shared" si="21"/>
        <v>3</v>
      </c>
      <c r="E287" s="472">
        <f t="shared" si="22"/>
        <v>16</v>
      </c>
      <c r="F287" s="472" t="str">
        <f t="shared" si="24"/>
        <v>crx</v>
      </c>
      <c r="G287" s="472" t="s">
        <v>918</v>
      </c>
      <c r="H287" s="472" t="s">
        <v>340</v>
      </c>
      <c r="I287" s="472" t="s">
        <v>919</v>
      </c>
      <c r="K287" s="473">
        <f t="shared" si="23"/>
        <v>2600</v>
      </c>
      <c r="M287" s="473">
        <v>2600</v>
      </c>
    </row>
    <row r="288" spans="1:15">
      <c r="A288" s="472">
        <v>1</v>
      </c>
      <c r="C288" s="472">
        <f t="shared" si="20"/>
        <v>5</v>
      </c>
      <c r="D288" s="472">
        <f t="shared" si="21"/>
        <v>3</v>
      </c>
      <c r="E288" s="472">
        <f t="shared" si="22"/>
        <v>16</v>
      </c>
      <c r="F288" s="472" t="str">
        <f t="shared" si="24"/>
        <v>crx</v>
      </c>
      <c r="G288" s="472" t="s">
        <v>920</v>
      </c>
      <c r="H288" s="472" t="s">
        <v>340</v>
      </c>
      <c r="I288" s="472" t="s">
        <v>921</v>
      </c>
      <c r="K288" s="473">
        <f t="shared" si="23"/>
        <v>2600</v>
      </c>
      <c r="M288" s="473">
        <v>2600</v>
      </c>
    </row>
    <row r="289" spans="1:14">
      <c r="A289" s="472">
        <v>2</v>
      </c>
      <c r="C289" s="472">
        <f t="shared" si="20"/>
        <v>6</v>
      </c>
      <c r="D289" s="472">
        <f t="shared" si="21"/>
        <v>6</v>
      </c>
      <c r="E289" s="472">
        <f t="shared" si="22"/>
        <v>16</v>
      </c>
      <c r="F289" s="472" t="str">
        <f t="shared" si="24"/>
        <v>pm</v>
      </c>
      <c r="G289" s="472" t="s">
        <v>922</v>
      </c>
      <c r="H289" s="472" t="s">
        <v>370</v>
      </c>
      <c r="I289" s="472" t="s">
        <v>923</v>
      </c>
      <c r="K289" s="473">
        <f t="shared" si="23"/>
        <v>2733.5481451312226</v>
      </c>
      <c r="M289" s="473">
        <v>2600</v>
      </c>
      <c r="N289" s="472">
        <v>2733.5481451312226</v>
      </c>
    </row>
    <row r="290" spans="1:14">
      <c r="A290" s="472">
        <v>1</v>
      </c>
      <c r="C290" s="472">
        <f t="shared" si="20"/>
        <v>7</v>
      </c>
      <c r="D290" s="472">
        <f t="shared" si="21"/>
        <v>7</v>
      </c>
      <c r="E290" s="472">
        <f t="shared" si="22"/>
        <v>16</v>
      </c>
      <c r="F290" s="472" t="str">
        <f t="shared" si="24"/>
        <v>crx</v>
      </c>
      <c r="G290" s="472" t="s">
        <v>924</v>
      </c>
      <c r="H290" s="472" t="s">
        <v>778</v>
      </c>
      <c r="I290" s="472" t="s">
        <v>925</v>
      </c>
      <c r="K290" s="473">
        <f t="shared" si="23"/>
        <v>2600</v>
      </c>
      <c r="M290" s="473">
        <v>2600</v>
      </c>
    </row>
    <row r="291" spans="1:14">
      <c r="A291" s="472">
        <v>4</v>
      </c>
      <c r="C291" s="472">
        <f t="shared" si="20"/>
        <v>8</v>
      </c>
      <c r="D291" s="472">
        <f t="shared" si="21"/>
        <v>8</v>
      </c>
      <c r="E291" s="472">
        <f t="shared" si="22"/>
        <v>16</v>
      </c>
      <c r="F291" s="472" t="str">
        <f t="shared" si="24"/>
        <v>pm</v>
      </c>
      <c r="G291" s="472" t="s">
        <v>926</v>
      </c>
      <c r="H291" s="472" t="s">
        <v>331</v>
      </c>
      <c r="I291" s="472" t="s">
        <v>927</v>
      </c>
      <c r="K291" s="473">
        <f t="shared" si="23"/>
        <v>2526.5213768802482</v>
      </c>
      <c r="M291" s="473">
        <v>2600</v>
      </c>
      <c r="N291" s="472">
        <v>2526.5213768802482</v>
      </c>
    </row>
    <row r="292" spans="1:14">
      <c r="A292" s="472">
        <v>4</v>
      </c>
      <c r="C292" s="472">
        <f t="shared" si="20"/>
        <v>9</v>
      </c>
      <c r="D292" s="472">
        <f t="shared" si="21"/>
        <v>9</v>
      </c>
      <c r="E292" s="472">
        <f t="shared" si="22"/>
        <v>16</v>
      </c>
      <c r="F292" s="472" t="str">
        <f t="shared" si="24"/>
        <v>pm</v>
      </c>
      <c r="G292" s="472" t="s">
        <v>928</v>
      </c>
      <c r="H292" s="472" t="s">
        <v>383</v>
      </c>
      <c r="I292" s="472" t="s">
        <v>929</v>
      </c>
      <c r="K292" s="473">
        <f t="shared" si="23"/>
        <v>2579.1327115348799</v>
      </c>
      <c r="M292" s="473">
        <v>2600</v>
      </c>
      <c r="N292" s="472">
        <v>2579.1327115348799</v>
      </c>
    </row>
    <row r="293" spans="1:14">
      <c r="A293" s="472">
        <v>6</v>
      </c>
      <c r="C293" s="472">
        <f t="shared" si="20"/>
        <v>10</v>
      </c>
      <c r="D293" s="472">
        <f t="shared" si="21"/>
        <v>10</v>
      </c>
      <c r="E293" s="472">
        <f t="shared" si="22"/>
        <v>16</v>
      </c>
      <c r="F293" s="472" t="str">
        <f t="shared" si="24"/>
        <v>pm</v>
      </c>
      <c r="G293" s="472" t="s">
        <v>930</v>
      </c>
      <c r="H293" s="472" t="s">
        <v>386</v>
      </c>
      <c r="I293" s="472" t="s">
        <v>931</v>
      </c>
      <c r="K293" s="473">
        <f t="shared" si="23"/>
        <v>2557.2310207697242</v>
      </c>
      <c r="M293" s="473">
        <v>2600</v>
      </c>
      <c r="N293" s="472">
        <v>2557.2310207697242</v>
      </c>
    </row>
    <row r="294" spans="1:14">
      <c r="A294" s="472">
        <v>2</v>
      </c>
      <c r="C294" s="472">
        <f t="shared" si="20"/>
        <v>11</v>
      </c>
      <c r="D294" s="472">
        <f t="shared" si="21"/>
        <v>11</v>
      </c>
      <c r="E294" s="472">
        <f t="shared" si="22"/>
        <v>16</v>
      </c>
      <c r="F294" s="472" t="str">
        <f t="shared" si="24"/>
        <v>pm</v>
      </c>
      <c r="G294" s="472" t="s">
        <v>932</v>
      </c>
      <c r="H294" s="472" t="s">
        <v>391</v>
      </c>
      <c r="I294" s="472" t="s">
        <v>933</v>
      </c>
      <c r="K294" s="473">
        <f t="shared" si="23"/>
        <v>2547.448427057398</v>
      </c>
      <c r="M294" s="473">
        <v>2600</v>
      </c>
      <c r="N294" s="472">
        <v>2547.448427057398</v>
      </c>
    </row>
    <row r="295" spans="1:14">
      <c r="A295" s="472">
        <v>1</v>
      </c>
      <c r="C295" s="472">
        <f t="shared" si="20"/>
        <v>12</v>
      </c>
      <c r="D295" s="472">
        <f t="shared" si="21"/>
        <v>12</v>
      </c>
      <c r="E295" s="472">
        <f t="shared" si="22"/>
        <v>16</v>
      </c>
      <c r="F295" s="472" t="str">
        <f t="shared" si="24"/>
        <v>pmx</v>
      </c>
      <c r="G295" s="472" t="s">
        <v>934</v>
      </c>
      <c r="H295" s="472" t="s">
        <v>449</v>
      </c>
      <c r="I295" s="472" t="s">
        <v>935</v>
      </c>
      <c r="K295" s="473">
        <f t="shared" si="23"/>
        <v>2600</v>
      </c>
      <c r="M295" s="473">
        <v>2600</v>
      </c>
    </row>
    <row r="296" spans="1:14">
      <c r="A296" s="472">
        <v>1</v>
      </c>
      <c r="C296" s="472">
        <f t="shared" si="20"/>
        <v>13</v>
      </c>
      <c r="D296" s="472">
        <f t="shared" si="21"/>
        <v>12</v>
      </c>
      <c r="E296" s="472">
        <f t="shared" si="22"/>
        <v>16</v>
      </c>
      <c r="F296" s="472" t="str">
        <f t="shared" si="24"/>
        <v>pmx</v>
      </c>
      <c r="G296" s="472" t="s">
        <v>936</v>
      </c>
      <c r="H296" s="472" t="s">
        <v>449</v>
      </c>
      <c r="I296" s="472" t="s">
        <v>937</v>
      </c>
      <c r="K296" s="473">
        <f t="shared" si="23"/>
        <v>2600</v>
      </c>
      <c r="M296" s="473">
        <v>2600</v>
      </c>
    </row>
    <row r="297" spans="1:14">
      <c r="A297" s="472">
        <v>4</v>
      </c>
      <c r="C297" s="472">
        <f t="shared" si="20"/>
        <v>14</v>
      </c>
      <c r="D297" s="472">
        <f t="shared" si="21"/>
        <v>14</v>
      </c>
      <c r="E297" s="472">
        <f t="shared" si="22"/>
        <v>16</v>
      </c>
      <c r="F297" s="472" t="str">
        <f t="shared" si="24"/>
        <v>pm</v>
      </c>
      <c r="G297" s="472" t="s">
        <v>938</v>
      </c>
      <c r="H297" s="472" t="s">
        <v>799</v>
      </c>
      <c r="I297" s="472" t="s">
        <v>939</v>
      </c>
      <c r="K297" s="473">
        <f t="shared" si="23"/>
        <v>2611.7110371533245</v>
      </c>
      <c r="M297" s="473">
        <v>2600</v>
      </c>
      <c r="N297" s="472">
        <v>2611.7110371533245</v>
      </c>
    </row>
    <row r="298" spans="1:14">
      <c r="A298" s="472">
        <v>1</v>
      </c>
      <c r="C298" s="472">
        <f t="shared" si="20"/>
        <v>15</v>
      </c>
      <c r="D298" s="472">
        <f t="shared" si="21"/>
        <v>15</v>
      </c>
      <c r="E298" s="472">
        <f t="shared" si="22"/>
        <v>16</v>
      </c>
      <c r="F298" s="472" t="str">
        <f t="shared" si="24"/>
        <v>pmx</v>
      </c>
      <c r="G298" s="472" t="s">
        <v>940</v>
      </c>
      <c r="H298" s="472" t="s">
        <v>394</v>
      </c>
      <c r="I298" s="472" t="s">
        <v>941</v>
      </c>
      <c r="K298" s="473">
        <f t="shared" si="23"/>
        <v>2600</v>
      </c>
      <c r="M298" s="473">
        <v>2600</v>
      </c>
    </row>
    <row r="299" spans="1:14">
      <c r="A299" s="472">
        <v>1</v>
      </c>
      <c r="C299" s="472">
        <f t="shared" si="20"/>
        <v>16</v>
      </c>
      <c r="D299" s="472">
        <f t="shared" si="21"/>
        <v>15</v>
      </c>
      <c r="E299" s="472">
        <f t="shared" si="22"/>
        <v>16</v>
      </c>
      <c r="F299" s="472" t="str">
        <f t="shared" si="24"/>
        <v>pmx</v>
      </c>
      <c r="G299" s="472" t="s">
        <v>942</v>
      </c>
      <c r="H299" s="472" t="s">
        <v>421</v>
      </c>
      <c r="I299" s="472" t="s">
        <v>943</v>
      </c>
      <c r="K299" s="473">
        <f t="shared" si="23"/>
        <v>2600</v>
      </c>
      <c r="M299" s="473">
        <v>2600</v>
      </c>
    </row>
    <row r="300" spans="1:14">
      <c r="A300" s="472">
        <v>2</v>
      </c>
      <c r="C300" s="472">
        <f t="shared" si="20"/>
        <v>17</v>
      </c>
      <c r="D300" s="472">
        <f t="shared" si="21"/>
        <v>15</v>
      </c>
      <c r="E300" s="472">
        <f t="shared" si="22"/>
        <v>16</v>
      </c>
      <c r="F300" s="472" t="str">
        <f t="shared" si="24"/>
        <v>pm</v>
      </c>
      <c r="G300" s="472" t="s">
        <v>944</v>
      </c>
      <c r="H300" s="472" t="s">
        <v>154</v>
      </c>
      <c r="I300" s="472" t="s">
        <v>945</v>
      </c>
      <c r="K300" s="473">
        <f t="shared" si="23"/>
        <v>2600</v>
      </c>
      <c r="M300" s="473">
        <v>2600</v>
      </c>
    </row>
    <row r="301" spans="1:14">
      <c r="A301" s="472">
        <v>2</v>
      </c>
      <c r="C301" s="472">
        <f t="shared" si="20"/>
        <v>18</v>
      </c>
      <c r="D301" s="472">
        <f t="shared" si="21"/>
        <v>15</v>
      </c>
      <c r="E301" s="472">
        <f t="shared" si="22"/>
        <v>16</v>
      </c>
      <c r="F301" s="472" t="str">
        <f t="shared" si="24"/>
        <v>pm</v>
      </c>
      <c r="G301" s="472" t="s">
        <v>946</v>
      </c>
      <c r="H301" s="472" t="s">
        <v>154</v>
      </c>
      <c r="I301" s="472" t="s">
        <v>947</v>
      </c>
      <c r="K301" s="473">
        <f t="shared" si="23"/>
        <v>2600</v>
      </c>
      <c r="M301" s="473">
        <v>2600</v>
      </c>
    </row>
    <row r="302" spans="1:14">
      <c r="A302" s="472">
        <v>2</v>
      </c>
      <c r="C302" s="472">
        <f t="shared" si="20"/>
        <v>19</v>
      </c>
      <c r="D302" s="472">
        <f t="shared" si="21"/>
        <v>15</v>
      </c>
      <c r="E302" s="472">
        <f t="shared" si="22"/>
        <v>16</v>
      </c>
      <c r="F302" s="472" t="str">
        <f t="shared" si="24"/>
        <v>pm</v>
      </c>
      <c r="G302" s="472" t="s">
        <v>948</v>
      </c>
      <c r="H302" s="472" t="s">
        <v>154</v>
      </c>
      <c r="I302" s="472" t="s">
        <v>949</v>
      </c>
      <c r="K302" s="473">
        <f t="shared" si="23"/>
        <v>2600</v>
      </c>
      <c r="M302" s="473">
        <v>2600</v>
      </c>
    </row>
    <row r="303" spans="1:14">
      <c r="A303" s="472">
        <v>1</v>
      </c>
      <c r="C303" s="472">
        <f t="shared" si="20"/>
        <v>20</v>
      </c>
      <c r="D303" s="472">
        <f t="shared" si="21"/>
        <v>15</v>
      </c>
      <c r="E303" s="472">
        <f t="shared" si="22"/>
        <v>16</v>
      </c>
      <c r="F303" s="472" t="str">
        <f t="shared" si="24"/>
        <v>sox</v>
      </c>
      <c r="G303" s="472" t="s">
        <v>950</v>
      </c>
      <c r="H303" s="472" t="s">
        <v>630</v>
      </c>
      <c r="I303" s="472" t="s">
        <v>951</v>
      </c>
      <c r="K303" s="473">
        <f t="shared" si="23"/>
        <v>2600</v>
      </c>
      <c r="M303" s="473">
        <v>2600</v>
      </c>
    </row>
    <row r="304" spans="1:14">
      <c r="A304" s="472">
        <v>2</v>
      </c>
      <c r="C304" s="472">
        <f t="shared" si="20"/>
        <v>21</v>
      </c>
      <c r="D304" s="472">
        <f t="shared" si="21"/>
        <v>21</v>
      </c>
      <c r="E304" s="472">
        <f t="shared" si="22"/>
        <v>16</v>
      </c>
      <c r="F304" s="472" t="str">
        <f t="shared" si="24"/>
        <v>pm</v>
      </c>
      <c r="G304" s="472" t="s">
        <v>952</v>
      </c>
      <c r="H304" s="472" t="s">
        <v>501</v>
      </c>
      <c r="I304" s="472" t="s">
        <v>953</v>
      </c>
      <c r="K304" s="473">
        <f t="shared" si="23"/>
        <v>2693.2412396436735</v>
      </c>
      <c r="M304" s="473">
        <v>2600</v>
      </c>
      <c r="N304" s="472">
        <v>2693.2412396436735</v>
      </c>
    </row>
    <row r="305" spans="1:15">
      <c r="A305" s="472">
        <v>4</v>
      </c>
      <c r="C305" s="472">
        <f t="shared" si="20"/>
        <v>22</v>
      </c>
      <c r="D305" s="472">
        <f t="shared" si="21"/>
        <v>22</v>
      </c>
      <c r="E305" s="472">
        <f t="shared" si="22"/>
        <v>16</v>
      </c>
      <c r="F305" s="472" t="str">
        <f t="shared" si="24"/>
        <v>pm</v>
      </c>
      <c r="G305" s="472" t="s">
        <v>954</v>
      </c>
      <c r="H305" s="472" t="s">
        <v>86</v>
      </c>
      <c r="I305" s="472" t="s">
        <v>955</v>
      </c>
      <c r="K305" s="473">
        <f t="shared" si="23"/>
        <v>2600</v>
      </c>
      <c r="M305" s="473">
        <v>2600</v>
      </c>
    </row>
    <row r="306" spans="1:15">
      <c r="A306" s="472">
        <v>1</v>
      </c>
      <c r="C306" s="472">
        <f t="shared" si="20"/>
        <v>23</v>
      </c>
      <c r="D306" s="472">
        <f t="shared" si="21"/>
        <v>22</v>
      </c>
      <c r="E306" s="472">
        <f t="shared" si="22"/>
        <v>16</v>
      </c>
      <c r="F306" s="472" t="str">
        <f t="shared" si="24"/>
        <v>crx</v>
      </c>
      <c r="G306" s="472" t="s">
        <v>956</v>
      </c>
      <c r="H306" s="472" t="s">
        <v>470</v>
      </c>
      <c r="I306" s="472" t="s">
        <v>957</v>
      </c>
      <c r="K306" s="473">
        <f t="shared" si="23"/>
        <v>2600</v>
      </c>
      <c r="M306" s="473">
        <v>2600</v>
      </c>
    </row>
    <row r="307" spans="1:15">
      <c r="A307" s="472">
        <v>2</v>
      </c>
      <c r="C307" s="472">
        <f t="shared" si="20"/>
        <v>24</v>
      </c>
      <c r="D307" s="472">
        <f t="shared" si="21"/>
        <v>22</v>
      </c>
      <c r="E307" s="472">
        <f t="shared" si="22"/>
        <v>16</v>
      </c>
      <c r="F307" s="472" t="str">
        <f t="shared" si="24"/>
        <v>pm</v>
      </c>
      <c r="G307" s="472" t="s">
        <v>958</v>
      </c>
      <c r="H307" s="472" t="s">
        <v>416</v>
      </c>
      <c r="I307" s="472" t="s">
        <v>959</v>
      </c>
      <c r="K307" s="473">
        <f t="shared" si="23"/>
        <v>2600</v>
      </c>
      <c r="M307" s="473">
        <v>2600</v>
      </c>
    </row>
    <row r="308" spans="1:15">
      <c r="A308" s="472">
        <v>1</v>
      </c>
      <c r="C308" s="472">
        <f t="shared" si="20"/>
        <v>25</v>
      </c>
      <c r="D308" s="472">
        <f t="shared" si="21"/>
        <v>22</v>
      </c>
      <c r="E308" s="472">
        <f t="shared" si="22"/>
        <v>16</v>
      </c>
      <c r="F308" s="472" t="str">
        <f t="shared" si="24"/>
        <v>crx</v>
      </c>
      <c r="G308" s="472" t="s">
        <v>960</v>
      </c>
      <c r="H308" s="472" t="s">
        <v>961</v>
      </c>
      <c r="I308" s="472" t="s">
        <v>962</v>
      </c>
      <c r="K308" s="473">
        <f t="shared" si="23"/>
        <v>2600</v>
      </c>
      <c r="M308" s="473">
        <v>2600</v>
      </c>
    </row>
    <row r="309" spans="1:15">
      <c r="A309" s="472">
        <v>2</v>
      </c>
      <c r="C309" s="472">
        <f t="shared" si="20"/>
        <v>26</v>
      </c>
      <c r="D309" s="472">
        <f t="shared" si="21"/>
        <v>26</v>
      </c>
      <c r="E309" s="472">
        <f t="shared" si="22"/>
        <v>16</v>
      </c>
      <c r="F309" s="472" t="str">
        <f t="shared" si="24"/>
        <v>cr</v>
      </c>
      <c r="G309" s="472" t="s">
        <v>963</v>
      </c>
      <c r="H309" s="472" t="s">
        <v>843</v>
      </c>
      <c r="I309" s="472" t="s">
        <v>964</v>
      </c>
      <c r="K309" s="473">
        <f t="shared" si="23"/>
        <v>2619.8630631761116</v>
      </c>
      <c r="M309" s="473">
        <v>2600</v>
      </c>
      <c r="N309" s="472">
        <v>2619.8630631761116</v>
      </c>
    </row>
    <row r="310" spans="1:15">
      <c r="A310" s="472">
        <v>1</v>
      </c>
      <c r="C310" s="472">
        <f t="shared" si="20"/>
        <v>27</v>
      </c>
      <c r="D310" s="472">
        <f t="shared" si="21"/>
        <v>27</v>
      </c>
      <c r="E310" s="472">
        <f t="shared" si="22"/>
        <v>16</v>
      </c>
      <c r="F310" s="472" t="str">
        <f t="shared" si="24"/>
        <v>sox</v>
      </c>
      <c r="G310" s="472" t="s">
        <v>965</v>
      </c>
      <c r="H310" s="472" t="s">
        <v>754</v>
      </c>
      <c r="I310" s="472" t="s">
        <v>966</v>
      </c>
      <c r="K310" s="473">
        <f t="shared" si="23"/>
        <v>2600</v>
      </c>
      <c r="M310" s="473">
        <v>2600</v>
      </c>
    </row>
    <row r="311" spans="1:15">
      <c r="A311" s="472">
        <v>3</v>
      </c>
      <c r="C311" s="472">
        <f t="shared" si="20"/>
        <v>28</v>
      </c>
      <c r="D311" s="472">
        <f t="shared" si="21"/>
        <v>28</v>
      </c>
      <c r="E311" s="472">
        <f t="shared" si="22"/>
        <v>16</v>
      </c>
      <c r="F311" s="472" t="str">
        <f t="shared" si="24"/>
        <v>pm</v>
      </c>
      <c r="G311" s="472" t="s">
        <v>967</v>
      </c>
      <c r="H311" s="472" t="s">
        <v>654</v>
      </c>
      <c r="I311" s="472" t="s">
        <v>968</v>
      </c>
      <c r="K311" s="473">
        <f t="shared" si="23"/>
        <v>2727.3143647802945</v>
      </c>
      <c r="M311" s="473">
        <v>2600</v>
      </c>
      <c r="N311" s="472">
        <v>2622.9403095455273</v>
      </c>
      <c r="O311" s="472">
        <v>2727.3143647802945</v>
      </c>
    </row>
    <row r="312" spans="1:15">
      <c r="A312" s="472">
        <v>4</v>
      </c>
      <c r="C312" s="472">
        <f t="shared" si="20"/>
        <v>29</v>
      </c>
      <c r="D312" s="472">
        <f t="shared" si="21"/>
        <v>29</v>
      </c>
      <c r="E312" s="472">
        <f t="shared" si="22"/>
        <v>16</v>
      </c>
      <c r="F312" s="472" t="str">
        <f t="shared" si="24"/>
        <v>pm</v>
      </c>
      <c r="G312" s="472" t="s">
        <v>969</v>
      </c>
      <c r="H312" s="472" t="s">
        <v>654</v>
      </c>
      <c r="I312" s="472" t="s">
        <v>970</v>
      </c>
      <c r="K312" s="473">
        <f t="shared" si="23"/>
        <v>2521.2497172214998</v>
      </c>
      <c r="M312" s="473">
        <v>2600</v>
      </c>
      <c r="N312" s="472">
        <v>2521.2497172214998</v>
      </c>
    </row>
    <row r="313" spans="1:15">
      <c r="A313" s="472">
        <v>1</v>
      </c>
      <c r="C313" s="472">
        <f t="shared" si="20"/>
        <v>30</v>
      </c>
      <c r="D313" s="472">
        <f t="shared" si="21"/>
        <v>30</v>
      </c>
      <c r="E313" s="472">
        <f t="shared" si="22"/>
        <v>16</v>
      </c>
      <c r="F313" s="472" t="str">
        <f t="shared" si="24"/>
        <v>pmx</v>
      </c>
      <c r="G313" s="472" t="s">
        <v>971</v>
      </c>
      <c r="H313" s="472" t="s">
        <v>346</v>
      </c>
      <c r="I313" s="472" t="s">
        <v>972</v>
      </c>
      <c r="K313" s="473">
        <f t="shared" si="23"/>
        <v>2600</v>
      </c>
      <c r="M313" s="473">
        <v>2600</v>
      </c>
    </row>
    <row r="314" spans="1:15">
      <c r="A314" s="472">
        <v>1</v>
      </c>
      <c r="C314" s="472">
        <f t="shared" si="20"/>
        <v>31</v>
      </c>
      <c r="D314" s="472">
        <f t="shared" si="21"/>
        <v>30</v>
      </c>
      <c r="E314" s="472">
        <f t="shared" si="22"/>
        <v>16</v>
      </c>
      <c r="F314" s="472" t="str">
        <f t="shared" si="24"/>
        <v>pmx</v>
      </c>
      <c r="G314" s="472" t="s">
        <v>973</v>
      </c>
      <c r="H314" s="472" t="s">
        <v>346</v>
      </c>
      <c r="I314" s="472" t="s">
        <v>974</v>
      </c>
      <c r="K314" s="473">
        <f t="shared" si="23"/>
        <v>2600</v>
      </c>
      <c r="M314" s="473">
        <v>2600</v>
      </c>
    </row>
    <row r="315" spans="1:15">
      <c r="A315" s="472">
        <v>1</v>
      </c>
      <c r="C315" s="472">
        <f t="shared" si="20"/>
        <v>32</v>
      </c>
      <c r="D315" s="472">
        <f t="shared" si="21"/>
        <v>30</v>
      </c>
      <c r="E315" s="472">
        <f t="shared" si="22"/>
        <v>16</v>
      </c>
      <c r="F315" s="472" t="str">
        <f t="shared" si="24"/>
        <v>pmx</v>
      </c>
      <c r="G315" s="472" t="s">
        <v>975</v>
      </c>
      <c r="H315" s="472" t="s">
        <v>346</v>
      </c>
      <c r="I315" s="472" t="s">
        <v>976</v>
      </c>
      <c r="K315" s="473">
        <f t="shared" si="23"/>
        <v>2600</v>
      </c>
      <c r="M315" s="473">
        <v>2600</v>
      </c>
    </row>
    <row r="316" spans="1:15">
      <c r="A316" s="472">
        <v>3</v>
      </c>
      <c r="C316" s="472">
        <f t="shared" si="20"/>
        <v>33</v>
      </c>
      <c r="D316" s="472">
        <f t="shared" si="21"/>
        <v>30</v>
      </c>
      <c r="E316" s="472">
        <f t="shared" si="22"/>
        <v>16</v>
      </c>
      <c r="F316" s="472" t="str">
        <f t="shared" si="24"/>
        <v>pm</v>
      </c>
      <c r="G316" s="472" t="s">
        <v>977</v>
      </c>
      <c r="H316" s="472" t="s">
        <v>483</v>
      </c>
      <c r="I316" s="472" t="s">
        <v>978</v>
      </c>
      <c r="K316" s="473">
        <f t="shared" si="23"/>
        <v>2600</v>
      </c>
      <c r="M316" s="473">
        <v>2600</v>
      </c>
    </row>
    <row r="317" spans="1:15">
      <c r="A317" s="472">
        <v>7</v>
      </c>
      <c r="C317" s="472">
        <f t="shared" si="20"/>
        <v>34</v>
      </c>
      <c r="D317" s="472">
        <f t="shared" si="21"/>
        <v>34</v>
      </c>
      <c r="E317" s="472">
        <f t="shared" si="22"/>
        <v>16</v>
      </c>
      <c r="F317" s="472" t="str">
        <f t="shared" si="24"/>
        <v>pm</v>
      </c>
      <c r="G317" s="472" t="s">
        <v>979</v>
      </c>
      <c r="H317" s="472" t="s">
        <v>512</v>
      </c>
      <c r="I317" s="472" t="s">
        <v>980</v>
      </c>
      <c r="K317" s="473">
        <f t="shared" si="23"/>
        <v>2497.3163076923242</v>
      </c>
      <c r="M317" s="473">
        <v>2571.4285714285716</v>
      </c>
      <c r="N317" s="472">
        <v>2497.3163076923242</v>
      </c>
    </row>
    <row r="318" spans="1:15">
      <c r="A318" s="472">
        <v>4</v>
      </c>
      <c r="C318" s="472">
        <f t="shared" si="20"/>
        <v>35</v>
      </c>
      <c r="D318" s="472">
        <f t="shared" si="21"/>
        <v>35</v>
      </c>
      <c r="E318" s="472">
        <f t="shared" si="22"/>
        <v>16</v>
      </c>
      <c r="F318" s="472" t="str">
        <f t="shared" si="24"/>
        <v>pm</v>
      </c>
      <c r="G318" s="472" t="s">
        <v>981</v>
      </c>
      <c r="H318" s="472" t="s">
        <v>402</v>
      </c>
      <c r="I318" s="472" t="s">
        <v>982</v>
      </c>
      <c r="K318" s="473">
        <f t="shared" si="23"/>
        <v>2471.3499188774426</v>
      </c>
      <c r="M318" s="473">
        <v>2550</v>
      </c>
      <c r="O318" s="472">
        <v>2471.3499188774426</v>
      </c>
    </row>
    <row r="319" spans="1:15">
      <c r="A319" s="472">
        <v>6</v>
      </c>
      <c r="C319" s="472">
        <f t="shared" si="20"/>
        <v>36</v>
      </c>
      <c r="D319" s="472">
        <f t="shared" si="21"/>
        <v>36</v>
      </c>
      <c r="E319" s="472">
        <f t="shared" si="22"/>
        <v>16</v>
      </c>
      <c r="F319" s="472" t="str">
        <f t="shared" si="24"/>
        <v>pm</v>
      </c>
      <c r="G319" s="472" t="s">
        <v>983</v>
      </c>
      <c r="H319" s="472" t="s">
        <v>386</v>
      </c>
      <c r="I319" s="472" t="s">
        <v>984</v>
      </c>
      <c r="K319" s="473">
        <f t="shared" si="23"/>
        <v>2411.485729701677</v>
      </c>
      <c r="M319" s="473">
        <v>2533.3333333333335</v>
      </c>
      <c r="O319" s="472">
        <v>2411.485729701677</v>
      </c>
    </row>
    <row r="320" spans="1:15">
      <c r="A320" s="472">
        <v>3</v>
      </c>
      <c r="C320" s="472">
        <f t="shared" si="20"/>
        <v>37</v>
      </c>
      <c r="D320" s="472">
        <f t="shared" si="21"/>
        <v>37</v>
      </c>
      <c r="E320" s="472">
        <f t="shared" si="22"/>
        <v>16</v>
      </c>
      <c r="F320" s="472" t="str">
        <f t="shared" si="24"/>
        <v>pm</v>
      </c>
      <c r="G320" s="472" t="s">
        <v>985</v>
      </c>
      <c r="H320" s="472" t="s">
        <v>408</v>
      </c>
      <c r="I320" s="472" t="s">
        <v>986</v>
      </c>
      <c r="K320" s="473">
        <f t="shared" si="23"/>
        <v>2435.20783882963</v>
      </c>
      <c r="M320" s="473">
        <v>2466.6666666666665</v>
      </c>
      <c r="O320" s="472">
        <v>2435.20783882963</v>
      </c>
    </row>
    <row r="321" spans="1:15">
      <c r="A321" s="472">
        <v>5</v>
      </c>
      <c r="C321" s="472">
        <f t="shared" si="20"/>
        <v>38</v>
      </c>
      <c r="D321" s="472">
        <f t="shared" si="21"/>
        <v>38</v>
      </c>
      <c r="E321" s="472">
        <f t="shared" si="22"/>
        <v>16</v>
      </c>
      <c r="F321" s="472" t="str">
        <f t="shared" si="24"/>
        <v>pm</v>
      </c>
      <c r="G321" s="472" t="s">
        <v>987</v>
      </c>
      <c r="H321" s="472" t="s">
        <v>337</v>
      </c>
      <c r="I321" s="472" t="s">
        <v>988</v>
      </c>
      <c r="K321" s="473">
        <f t="shared" si="23"/>
        <v>2444.6903233816761</v>
      </c>
      <c r="M321" s="473">
        <v>2360</v>
      </c>
      <c r="O321" s="472">
        <v>2444.6903233816761</v>
      </c>
    </row>
    <row r="322" spans="1:15">
      <c r="A322" s="472">
        <v>5</v>
      </c>
      <c r="C322" s="472">
        <f t="shared" ref="C322:C385" si="25">IF(E322=E321,C321+1,1)</f>
        <v>39</v>
      </c>
      <c r="D322" s="472">
        <f t="shared" ref="D322:D385" si="26">IF(K322=K321,D321,C322)</f>
        <v>39</v>
      </c>
      <c r="E322" s="472">
        <f t="shared" ref="E322:E385" si="27">10+VALUE(RIGHT(LEFT(G322,3),1))</f>
        <v>16</v>
      </c>
      <c r="F322" s="472" t="str">
        <f t="shared" si="24"/>
        <v>pm</v>
      </c>
      <c r="G322" s="472" t="s">
        <v>989</v>
      </c>
      <c r="H322" s="472" t="s">
        <v>990</v>
      </c>
      <c r="I322" s="472" t="s">
        <v>991</v>
      </c>
      <c r="K322" s="473">
        <f t="shared" ref="K322:K385" si="28">LOOKUP(1E+100,M322:AC322)</f>
        <v>2281.9805420730331</v>
      </c>
      <c r="M322" s="473">
        <v>2320</v>
      </c>
      <c r="O322" s="472">
        <v>2281.9805420730331</v>
      </c>
    </row>
    <row r="323" spans="1:15">
      <c r="A323" s="472">
        <v>5</v>
      </c>
      <c r="C323" s="472">
        <f t="shared" si="25"/>
        <v>40</v>
      </c>
      <c r="D323" s="472">
        <f t="shared" si="26"/>
        <v>40</v>
      </c>
      <c r="E323" s="472">
        <f t="shared" si="27"/>
        <v>16</v>
      </c>
      <c r="F323" s="472" t="str">
        <f t="shared" ref="F323:F386" si="29">RIGHT(G323,2) &amp; IF(A323&lt;2,"x","")</f>
        <v>pm</v>
      </c>
      <c r="G323" s="472" t="s">
        <v>992</v>
      </c>
      <c r="H323" s="472" t="s">
        <v>671</v>
      </c>
      <c r="I323" s="472" t="s">
        <v>993</v>
      </c>
      <c r="K323" s="473">
        <f t="shared" si="28"/>
        <v>2254.6722447846205</v>
      </c>
      <c r="M323" s="473">
        <v>2200</v>
      </c>
      <c r="O323" s="472">
        <v>2254.6722447846205</v>
      </c>
    </row>
    <row r="324" spans="1:15">
      <c r="A324" s="472">
        <v>1</v>
      </c>
      <c r="C324" s="472">
        <f t="shared" si="25"/>
        <v>41</v>
      </c>
      <c r="D324" s="472">
        <f t="shared" si="26"/>
        <v>41</v>
      </c>
      <c r="E324" s="472">
        <f t="shared" si="27"/>
        <v>16</v>
      </c>
      <c r="F324" s="472" t="str">
        <f t="shared" si="29"/>
        <v>pmx</v>
      </c>
      <c r="G324" s="472" t="s">
        <v>994</v>
      </c>
      <c r="H324" s="472" t="s">
        <v>343</v>
      </c>
      <c r="I324" s="472" t="s">
        <v>995</v>
      </c>
      <c r="K324" s="473">
        <f t="shared" si="28"/>
        <v>2319.0536224706743</v>
      </c>
      <c r="M324" s="473">
        <v>2200</v>
      </c>
      <c r="O324" s="472">
        <v>2319.0536224706743</v>
      </c>
    </row>
    <row r="325" spans="1:15">
      <c r="A325" s="472">
        <v>6</v>
      </c>
      <c r="C325" s="472">
        <f t="shared" si="25"/>
        <v>42</v>
      </c>
      <c r="D325" s="472">
        <f t="shared" si="26"/>
        <v>42</v>
      </c>
      <c r="E325" s="472">
        <f t="shared" si="27"/>
        <v>16</v>
      </c>
      <c r="F325" s="472" t="str">
        <f t="shared" si="29"/>
        <v>pm</v>
      </c>
      <c r="G325" s="472" t="s">
        <v>996</v>
      </c>
      <c r="H325" s="472" t="s">
        <v>386</v>
      </c>
      <c r="I325" s="472" t="s">
        <v>997</v>
      </c>
      <c r="K325" s="473">
        <f t="shared" si="28"/>
        <v>2151.4067918374999</v>
      </c>
      <c r="M325" s="473">
        <v>2200</v>
      </c>
      <c r="O325" s="472">
        <v>2151.4067918374999</v>
      </c>
    </row>
    <row r="326" spans="1:15">
      <c r="A326" s="472">
        <v>1</v>
      </c>
      <c r="C326" s="472">
        <f t="shared" si="25"/>
        <v>43</v>
      </c>
      <c r="D326" s="472">
        <f t="shared" si="26"/>
        <v>43</v>
      </c>
      <c r="E326" s="472">
        <f t="shared" si="27"/>
        <v>16</v>
      </c>
      <c r="F326" s="472" t="str">
        <f t="shared" si="29"/>
        <v>sox</v>
      </c>
      <c r="G326" s="472" t="s">
        <v>998</v>
      </c>
      <c r="H326" s="472" t="s">
        <v>543</v>
      </c>
      <c r="I326" s="472" t="s">
        <v>999</v>
      </c>
      <c r="K326" s="473">
        <f t="shared" si="28"/>
        <v>2200</v>
      </c>
      <c r="M326" s="473">
        <v>2200</v>
      </c>
    </row>
    <row r="327" spans="1:15">
      <c r="A327" s="472">
        <v>1</v>
      </c>
      <c r="C327" s="472">
        <f t="shared" si="25"/>
        <v>44</v>
      </c>
      <c r="D327" s="472">
        <f t="shared" si="26"/>
        <v>43</v>
      </c>
      <c r="E327" s="472">
        <f t="shared" si="27"/>
        <v>16</v>
      </c>
      <c r="F327" s="472" t="str">
        <f t="shared" si="29"/>
        <v>sox</v>
      </c>
      <c r="G327" s="472" t="s">
        <v>1000</v>
      </c>
      <c r="H327" s="472" t="s">
        <v>543</v>
      </c>
      <c r="I327" s="472" t="s">
        <v>1001</v>
      </c>
      <c r="K327" s="473">
        <f t="shared" si="28"/>
        <v>2200</v>
      </c>
      <c r="M327" s="473">
        <v>2200</v>
      </c>
    </row>
    <row r="328" spans="1:15">
      <c r="A328" s="472">
        <v>2</v>
      </c>
      <c r="C328" s="472">
        <f t="shared" si="25"/>
        <v>45</v>
      </c>
      <c r="D328" s="472">
        <f t="shared" si="26"/>
        <v>43</v>
      </c>
      <c r="E328" s="472">
        <f t="shared" si="27"/>
        <v>16</v>
      </c>
      <c r="F328" s="472" t="str">
        <f t="shared" si="29"/>
        <v>cr</v>
      </c>
      <c r="G328" s="472" t="s">
        <v>1002</v>
      </c>
      <c r="H328" s="472" t="s">
        <v>405</v>
      </c>
      <c r="I328" s="472" t="s">
        <v>1003</v>
      </c>
      <c r="K328" s="473">
        <f t="shared" si="28"/>
        <v>2200</v>
      </c>
      <c r="M328" s="473">
        <v>2200</v>
      </c>
    </row>
    <row r="329" spans="1:15">
      <c r="A329" s="472">
        <v>2</v>
      </c>
      <c r="C329" s="472">
        <f t="shared" si="25"/>
        <v>46</v>
      </c>
      <c r="D329" s="472">
        <f t="shared" si="26"/>
        <v>43</v>
      </c>
      <c r="E329" s="472">
        <f t="shared" si="27"/>
        <v>16</v>
      </c>
      <c r="F329" s="472" t="str">
        <f t="shared" si="29"/>
        <v>cr</v>
      </c>
      <c r="G329" s="472" t="s">
        <v>1004</v>
      </c>
      <c r="H329" s="472" t="s">
        <v>405</v>
      </c>
      <c r="I329" s="472" t="s">
        <v>1005</v>
      </c>
      <c r="K329" s="473">
        <f t="shared" si="28"/>
        <v>2200</v>
      </c>
      <c r="M329" s="473">
        <v>2200</v>
      </c>
    </row>
    <row r="330" spans="1:15">
      <c r="A330" s="472">
        <v>1</v>
      </c>
      <c r="C330" s="472">
        <f t="shared" si="25"/>
        <v>47</v>
      </c>
      <c r="D330" s="472">
        <f t="shared" si="26"/>
        <v>47</v>
      </c>
      <c r="E330" s="472">
        <f t="shared" si="27"/>
        <v>16</v>
      </c>
      <c r="F330" s="472" t="str">
        <f t="shared" si="29"/>
        <v>crx</v>
      </c>
      <c r="G330" s="472" t="s">
        <v>1006</v>
      </c>
      <c r="H330" s="472" t="s">
        <v>1007</v>
      </c>
      <c r="I330" s="472" t="s">
        <v>1008</v>
      </c>
      <c r="K330" s="473">
        <f t="shared" si="28"/>
        <v>2269.6125043751308</v>
      </c>
      <c r="M330" s="473">
        <v>2200</v>
      </c>
      <c r="O330" s="472">
        <v>2269.6125043751308</v>
      </c>
    </row>
    <row r="331" spans="1:15">
      <c r="A331" s="472">
        <v>1</v>
      </c>
      <c r="C331" s="472">
        <f t="shared" si="25"/>
        <v>48</v>
      </c>
      <c r="D331" s="472">
        <f t="shared" si="26"/>
        <v>48</v>
      </c>
      <c r="E331" s="472">
        <f t="shared" si="27"/>
        <v>16</v>
      </c>
      <c r="F331" s="472" t="str">
        <f t="shared" si="29"/>
        <v>sox</v>
      </c>
      <c r="G331" s="472" t="s">
        <v>1009</v>
      </c>
      <c r="H331" s="472" t="s">
        <v>430</v>
      </c>
      <c r="I331" s="472" t="s">
        <v>1010</v>
      </c>
      <c r="K331" s="473">
        <f t="shared" si="28"/>
        <v>2200</v>
      </c>
      <c r="M331" s="473">
        <v>2200</v>
      </c>
    </row>
    <row r="332" spans="1:15">
      <c r="A332" s="472">
        <v>1</v>
      </c>
      <c r="C332" s="472">
        <f t="shared" si="25"/>
        <v>49</v>
      </c>
      <c r="D332" s="472">
        <f t="shared" si="26"/>
        <v>49</v>
      </c>
      <c r="E332" s="472">
        <f t="shared" si="27"/>
        <v>16</v>
      </c>
      <c r="F332" s="472" t="str">
        <f t="shared" si="29"/>
        <v>crx</v>
      </c>
      <c r="G332" s="472" t="s">
        <v>1011</v>
      </c>
      <c r="H332" s="472" t="s">
        <v>1012</v>
      </c>
      <c r="I332" s="472" t="s">
        <v>1013</v>
      </c>
      <c r="K332" s="473">
        <f t="shared" si="28"/>
        <v>2263.4652648991896</v>
      </c>
      <c r="M332" s="473">
        <v>2200</v>
      </c>
      <c r="O332" s="472">
        <v>2263.4652648991896</v>
      </c>
    </row>
    <row r="333" spans="1:15">
      <c r="A333" s="472">
        <v>5</v>
      </c>
      <c r="C333" s="472">
        <f t="shared" si="25"/>
        <v>50</v>
      </c>
      <c r="D333" s="472">
        <f t="shared" si="26"/>
        <v>50</v>
      </c>
      <c r="E333" s="472">
        <f t="shared" si="27"/>
        <v>16</v>
      </c>
      <c r="F333" s="472" t="str">
        <f t="shared" si="29"/>
        <v>pm</v>
      </c>
      <c r="G333" s="472" t="s">
        <v>1014</v>
      </c>
      <c r="H333" s="472" t="s">
        <v>86</v>
      </c>
      <c r="I333" s="472" t="s">
        <v>1015</v>
      </c>
      <c r="K333" s="473">
        <f t="shared" si="28"/>
        <v>2200</v>
      </c>
      <c r="M333" s="473">
        <v>2200</v>
      </c>
    </row>
    <row r="334" spans="1:15">
      <c r="A334" s="472">
        <v>5</v>
      </c>
      <c r="C334" s="472">
        <f t="shared" si="25"/>
        <v>51</v>
      </c>
      <c r="D334" s="472">
        <f t="shared" si="26"/>
        <v>50</v>
      </c>
      <c r="E334" s="472">
        <f t="shared" si="27"/>
        <v>16</v>
      </c>
      <c r="F334" s="472" t="str">
        <f t="shared" si="29"/>
        <v>pm</v>
      </c>
      <c r="G334" s="472" t="s">
        <v>1016</v>
      </c>
      <c r="H334" s="472" t="s">
        <v>86</v>
      </c>
      <c r="I334" s="472" t="s">
        <v>1017</v>
      </c>
      <c r="K334" s="473">
        <f t="shared" si="28"/>
        <v>2200</v>
      </c>
      <c r="M334" s="473">
        <v>2200</v>
      </c>
    </row>
    <row r="335" spans="1:15">
      <c r="A335" s="472">
        <v>3</v>
      </c>
      <c r="C335" s="472">
        <f t="shared" si="25"/>
        <v>52</v>
      </c>
      <c r="D335" s="472">
        <f t="shared" si="26"/>
        <v>50</v>
      </c>
      <c r="E335" s="472">
        <f t="shared" si="27"/>
        <v>16</v>
      </c>
      <c r="F335" s="472" t="str">
        <f t="shared" si="29"/>
        <v>pm</v>
      </c>
      <c r="G335" s="472" t="s">
        <v>1018</v>
      </c>
      <c r="H335" s="472" t="s">
        <v>117</v>
      </c>
      <c r="I335" s="472" t="s">
        <v>1019</v>
      </c>
      <c r="K335" s="473">
        <f t="shared" si="28"/>
        <v>2200</v>
      </c>
      <c r="M335" s="473">
        <v>2200</v>
      </c>
    </row>
    <row r="336" spans="1:15">
      <c r="A336" s="472">
        <v>1</v>
      </c>
      <c r="C336" s="472">
        <f t="shared" si="25"/>
        <v>53</v>
      </c>
      <c r="D336" s="472">
        <f t="shared" si="26"/>
        <v>50</v>
      </c>
      <c r="E336" s="472">
        <f t="shared" si="27"/>
        <v>16</v>
      </c>
      <c r="F336" s="472" t="str">
        <f t="shared" si="29"/>
        <v>crx</v>
      </c>
      <c r="G336" s="472" t="s">
        <v>1020</v>
      </c>
      <c r="H336" s="472" t="s">
        <v>1021</v>
      </c>
      <c r="I336" s="472" t="s">
        <v>1022</v>
      </c>
      <c r="K336" s="473">
        <f t="shared" si="28"/>
        <v>2200</v>
      </c>
      <c r="M336" s="473">
        <v>2200</v>
      </c>
    </row>
    <row r="337" spans="1:14">
      <c r="A337" s="472">
        <v>5</v>
      </c>
      <c r="C337" s="472">
        <f t="shared" si="25"/>
        <v>54</v>
      </c>
      <c r="D337" s="472">
        <f t="shared" si="26"/>
        <v>50</v>
      </c>
      <c r="E337" s="472">
        <f t="shared" si="27"/>
        <v>16</v>
      </c>
      <c r="F337" s="472" t="str">
        <f t="shared" si="29"/>
        <v>pm</v>
      </c>
      <c r="G337" s="472" t="s">
        <v>1023</v>
      </c>
      <c r="H337" s="472" t="s">
        <v>579</v>
      </c>
      <c r="I337" s="472" t="s">
        <v>1024</v>
      </c>
      <c r="K337" s="473">
        <f t="shared" si="28"/>
        <v>2200</v>
      </c>
      <c r="M337" s="473">
        <v>2200</v>
      </c>
    </row>
    <row r="338" spans="1:14">
      <c r="A338" s="472">
        <v>5</v>
      </c>
      <c r="C338" s="472">
        <f t="shared" si="25"/>
        <v>55</v>
      </c>
      <c r="D338" s="472">
        <f t="shared" si="26"/>
        <v>50</v>
      </c>
      <c r="E338" s="472">
        <f t="shared" si="27"/>
        <v>16</v>
      </c>
      <c r="F338" s="472" t="str">
        <f t="shared" si="29"/>
        <v>pm</v>
      </c>
      <c r="G338" s="472" t="s">
        <v>1025</v>
      </c>
      <c r="H338" s="472" t="s">
        <v>579</v>
      </c>
      <c r="I338" s="472" t="s">
        <v>1026</v>
      </c>
      <c r="K338" s="473">
        <f t="shared" si="28"/>
        <v>2200</v>
      </c>
      <c r="M338" s="473">
        <v>2200</v>
      </c>
    </row>
    <row r="339" spans="1:14">
      <c r="A339" s="472">
        <v>1</v>
      </c>
      <c r="C339" s="472">
        <f t="shared" si="25"/>
        <v>56</v>
      </c>
      <c r="D339" s="472">
        <f t="shared" si="26"/>
        <v>50</v>
      </c>
      <c r="E339" s="472">
        <f t="shared" si="27"/>
        <v>16</v>
      </c>
      <c r="F339" s="472" t="str">
        <f t="shared" si="29"/>
        <v>sox</v>
      </c>
      <c r="G339" s="472" t="s">
        <v>1027</v>
      </c>
      <c r="H339" s="472" t="s">
        <v>754</v>
      </c>
      <c r="I339" s="472" t="s">
        <v>1028</v>
      </c>
      <c r="K339" s="473">
        <f t="shared" si="28"/>
        <v>2200</v>
      </c>
      <c r="M339" s="473">
        <v>2200</v>
      </c>
    </row>
    <row r="340" spans="1:14">
      <c r="A340" s="472">
        <v>1</v>
      </c>
      <c r="C340" s="472">
        <f t="shared" si="25"/>
        <v>57</v>
      </c>
      <c r="D340" s="472">
        <f t="shared" si="26"/>
        <v>50</v>
      </c>
      <c r="E340" s="472">
        <f t="shared" si="27"/>
        <v>16</v>
      </c>
      <c r="F340" s="472" t="str">
        <f t="shared" si="29"/>
        <v>sox</v>
      </c>
      <c r="G340" s="472" t="s">
        <v>1029</v>
      </c>
      <c r="H340" s="472" t="s">
        <v>754</v>
      </c>
      <c r="I340" s="472" t="s">
        <v>1030</v>
      </c>
      <c r="K340" s="473">
        <f t="shared" si="28"/>
        <v>2200</v>
      </c>
      <c r="M340" s="473">
        <v>2200</v>
      </c>
    </row>
    <row r="341" spans="1:14">
      <c r="A341" s="472">
        <v>1</v>
      </c>
      <c r="C341" s="472">
        <f t="shared" si="25"/>
        <v>58</v>
      </c>
      <c r="D341" s="472">
        <f t="shared" si="26"/>
        <v>50</v>
      </c>
      <c r="E341" s="472">
        <f t="shared" si="27"/>
        <v>16</v>
      </c>
      <c r="F341" s="472" t="str">
        <f t="shared" si="29"/>
        <v>sox</v>
      </c>
      <c r="G341" s="472" t="s">
        <v>1031</v>
      </c>
      <c r="H341" s="472" t="s">
        <v>754</v>
      </c>
      <c r="I341" s="472" t="s">
        <v>1032</v>
      </c>
      <c r="K341" s="473">
        <f t="shared" si="28"/>
        <v>2200</v>
      </c>
      <c r="M341" s="473">
        <v>2200</v>
      </c>
    </row>
    <row r="342" spans="1:14">
      <c r="A342" s="472">
        <v>4</v>
      </c>
      <c r="C342" s="472">
        <f t="shared" si="25"/>
        <v>59</v>
      </c>
      <c r="D342" s="472">
        <f t="shared" si="26"/>
        <v>50</v>
      </c>
      <c r="E342" s="472">
        <f t="shared" si="27"/>
        <v>16</v>
      </c>
      <c r="F342" s="472" t="str">
        <f t="shared" si="29"/>
        <v>pm</v>
      </c>
      <c r="G342" s="472" t="s">
        <v>1033</v>
      </c>
      <c r="H342" s="472" t="s">
        <v>483</v>
      </c>
      <c r="I342" s="472" t="s">
        <v>1034</v>
      </c>
      <c r="K342" s="473">
        <f t="shared" si="28"/>
        <v>2200</v>
      </c>
      <c r="M342" s="473">
        <v>2200</v>
      </c>
    </row>
    <row r="343" spans="1:14">
      <c r="A343" s="472">
        <v>1</v>
      </c>
      <c r="C343" s="472">
        <f t="shared" si="25"/>
        <v>1</v>
      </c>
      <c r="D343" s="472">
        <f t="shared" si="26"/>
        <v>1</v>
      </c>
      <c r="E343" s="472">
        <f t="shared" si="27"/>
        <v>17</v>
      </c>
      <c r="F343" s="472" t="str">
        <f t="shared" si="29"/>
        <v>crx</v>
      </c>
      <c r="G343" s="472" t="s">
        <v>1035</v>
      </c>
      <c r="H343" s="472" t="s">
        <v>1036</v>
      </c>
      <c r="I343" s="472" t="s">
        <v>1037</v>
      </c>
      <c r="K343" s="473">
        <f t="shared" si="28"/>
        <v>2800</v>
      </c>
      <c r="M343" s="473">
        <v>2800</v>
      </c>
    </row>
    <row r="344" spans="1:14">
      <c r="A344" s="472">
        <v>2</v>
      </c>
      <c r="C344" s="472">
        <f t="shared" si="25"/>
        <v>2</v>
      </c>
      <c r="D344" s="472">
        <f t="shared" si="26"/>
        <v>1</v>
      </c>
      <c r="E344" s="472">
        <f t="shared" si="27"/>
        <v>17</v>
      </c>
      <c r="F344" s="472" t="str">
        <f t="shared" si="29"/>
        <v>cr</v>
      </c>
      <c r="G344" s="472" t="s">
        <v>1038</v>
      </c>
      <c r="H344" s="472" t="s">
        <v>340</v>
      </c>
      <c r="I344" s="472" t="s">
        <v>1039</v>
      </c>
      <c r="K344" s="473">
        <f t="shared" si="28"/>
        <v>2800</v>
      </c>
      <c r="M344" s="473">
        <v>2800</v>
      </c>
    </row>
    <row r="345" spans="1:14">
      <c r="A345" s="472">
        <v>1</v>
      </c>
      <c r="C345" s="472">
        <f t="shared" si="25"/>
        <v>3</v>
      </c>
      <c r="D345" s="472">
        <f t="shared" si="26"/>
        <v>3</v>
      </c>
      <c r="E345" s="472">
        <f t="shared" si="27"/>
        <v>17</v>
      </c>
      <c r="F345" s="472" t="str">
        <f t="shared" si="29"/>
        <v>crx</v>
      </c>
      <c r="G345" s="472" t="s">
        <v>1040</v>
      </c>
      <c r="H345" s="472" t="s">
        <v>1041</v>
      </c>
      <c r="I345" s="472" t="s">
        <v>1042</v>
      </c>
      <c r="K345" s="473">
        <f t="shared" si="28"/>
        <v>2750.4570583228733</v>
      </c>
      <c r="M345" s="473">
        <v>2800</v>
      </c>
      <c r="N345" s="472">
        <v>2750.4570583228733</v>
      </c>
    </row>
    <row r="346" spans="1:14">
      <c r="A346" s="472">
        <v>1</v>
      </c>
      <c r="C346" s="472">
        <f t="shared" si="25"/>
        <v>4</v>
      </c>
      <c r="D346" s="472">
        <f t="shared" si="26"/>
        <v>4</v>
      </c>
      <c r="E346" s="472">
        <f t="shared" si="27"/>
        <v>17</v>
      </c>
      <c r="F346" s="472" t="str">
        <f t="shared" si="29"/>
        <v>crx</v>
      </c>
      <c r="G346" s="472" t="s">
        <v>1043</v>
      </c>
      <c r="H346" s="472" t="s">
        <v>778</v>
      </c>
      <c r="I346" s="472" t="s">
        <v>1044</v>
      </c>
      <c r="K346" s="473">
        <f t="shared" si="28"/>
        <v>2800</v>
      </c>
      <c r="M346" s="473">
        <v>2800</v>
      </c>
    </row>
    <row r="347" spans="1:14">
      <c r="A347" s="472">
        <v>1</v>
      </c>
      <c r="C347" s="472">
        <f t="shared" si="25"/>
        <v>5</v>
      </c>
      <c r="D347" s="472">
        <f t="shared" si="26"/>
        <v>4</v>
      </c>
      <c r="E347" s="472">
        <f t="shared" si="27"/>
        <v>17</v>
      </c>
      <c r="F347" s="472" t="str">
        <f t="shared" si="29"/>
        <v>crx</v>
      </c>
      <c r="G347" s="472" t="s">
        <v>1045</v>
      </c>
      <c r="H347" s="472" t="s">
        <v>1046</v>
      </c>
      <c r="I347" s="472" t="s">
        <v>1047</v>
      </c>
      <c r="K347" s="473">
        <f t="shared" si="28"/>
        <v>2800</v>
      </c>
      <c r="M347" s="473">
        <v>2800</v>
      </c>
    </row>
    <row r="348" spans="1:14">
      <c r="A348" s="472">
        <v>4</v>
      </c>
      <c r="C348" s="472">
        <f t="shared" si="25"/>
        <v>6</v>
      </c>
      <c r="D348" s="472">
        <f t="shared" si="26"/>
        <v>6</v>
      </c>
      <c r="E348" s="472">
        <f t="shared" si="27"/>
        <v>17</v>
      </c>
      <c r="F348" s="472" t="str">
        <f t="shared" si="29"/>
        <v>pm</v>
      </c>
      <c r="G348" s="472" t="s">
        <v>1048</v>
      </c>
      <c r="H348" s="472" t="s">
        <v>331</v>
      </c>
      <c r="I348" s="472" t="s">
        <v>1049</v>
      </c>
      <c r="K348" s="473">
        <f t="shared" si="28"/>
        <v>2833.6024184475791</v>
      </c>
      <c r="M348" s="473">
        <v>2800</v>
      </c>
      <c r="N348" s="472">
        <v>2833.6024184475791</v>
      </c>
    </row>
    <row r="349" spans="1:14">
      <c r="A349" s="472">
        <v>4</v>
      </c>
      <c r="C349" s="472">
        <f t="shared" si="25"/>
        <v>7</v>
      </c>
      <c r="D349" s="472">
        <f t="shared" si="26"/>
        <v>7</v>
      </c>
      <c r="E349" s="472">
        <f t="shared" si="27"/>
        <v>17</v>
      </c>
      <c r="F349" s="472" t="str">
        <f t="shared" si="29"/>
        <v>pm</v>
      </c>
      <c r="G349" s="472" t="s">
        <v>1050</v>
      </c>
      <c r="H349" s="472" t="s">
        <v>331</v>
      </c>
      <c r="I349" s="472" t="s">
        <v>1051</v>
      </c>
      <c r="K349" s="473">
        <f t="shared" si="28"/>
        <v>2871.6284059333157</v>
      </c>
      <c r="M349" s="473">
        <v>2800</v>
      </c>
      <c r="N349" s="472">
        <v>2871.6284059333157</v>
      </c>
    </row>
    <row r="350" spans="1:14">
      <c r="A350" s="472">
        <v>1</v>
      </c>
      <c r="C350" s="472">
        <f t="shared" si="25"/>
        <v>8</v>
      </c>
      <c r="D350" s="472">
        <f t="shared" si="26"/>
        <v>8</v>
      </c>
      <c r="E350" s="472">
        <f t="shared" si="27"/>
        <v>17</v>
      </c>
      <c r="F350" s="472" t="str">
        <f t="shared" si="29"/>
        <v>crx</v>
      </c>
      <c r="G350" s="472" t="s">
        <v>1052</v>
      </c>
      <c r="H350" s="472" t="s">
        <v>1053</v>
      </c>
      <c r="I350" s="472" t="s">
        <v>1054</v>
      </c>
      <c r="K350" s="473">
        <f t="shared" si="28"/>
        <v>2800</v>
      </c>
      <c r="M350" s="473">
        <v>2800</v>
      </c>
    </row>
    <row r="351" spans="1:14">
      <c r="A351" s="472">
        <v>1</v>
      </c>
      <c r="C351" s="472">
        <f t="shared" si="25"/>
        <v>9</v>
      </c>
      <c r="D351" s="472">
        <f t="shared" si="26"/>
        <v>8</v>
      </c>
      <c r="E351" s="472">
        <f t="shared" si="27"/>
        <v>17</v>
      </c>
      <c r="F351" s="472" t="str">
        <f t="shared" si="29"/>
        <v>pmx</v>
      </c>
      <c r="G351" s="472" t="s">
        <v>1055</v>
      </c>
      <c r="H351" s="472" t="s">
        <v>449</v>
      </c>
      <c r="I351" s="472" t="s">
        <v>1056</v>
      </c>
      <c r="K351" s="473">
        <f t="shared" si="28"/>
        <v>2800</v>
      </c>
      <c r="M351" s="473">
        <v>2800</v>
      </c>
    </row>
    <row r="352" spans="1:14">
      <c r="A352" s="472">
        <v>4</v>
      </c>
      <c r="C352" s="472">
        <f t="shared" si="25"/>
        <v>10</v>
      </c>
      <c r="D352" s="472">
        <f t="shared" si="26"/>
        <v>10</v>
      </c>
      <c r="E352" s="472">
        <f t="shared" si="27"/>
        <v>17</v>
      </c>
      <c r="F352" s="472" t="str">
        <f t="shared" si="29"/>
        <v>pm</v>
      </c>
      <c r="G352" s="472" t="s">
        <v>1057</v>
      </c>
      <c r="H352" s="472" t="s">
        <v>799</v>
      </c>
      <c r="I352" s="472" t="s">
        <v>1058</v>
      </c>
      <c r="K352" s="473">
        <f t="shared" si="28"/>
        <v>2752.6182883776373</v>
      </c>
      <c r="M352" s="473">
        <v>2800</v>
      </c>
      <c r="N352" s="472">
        <v>2752.6182883776373</v>
      </c>
    </row>
    <row r="353" spans="1:14">
      <c r="A353" s="472">
        <v>5</v>
      </c>
      <c r="C353" s="472">
        <f t="shared" si="25"/>
        <v>11</v>
      </c>
      <c r="D353" s="472">
        <f t="shared" si="26"/>
        <v>11</v>
      </c>
      <c r="E353" s="472">
        <f t="shared" si="27"/>
        <v>17</v>
      </c>
      <c r="F353" s="472" t="str">
        <f t="shared" si="29"/>
        <v>pm</v>
      </c>
      <c r="G353" s="472" t="s">
        <v>1059</v>
      </c>
      <c r="H353" s="472" t="s">
        <v>1060</v>
      </c>
      <c r="I353" s="472" t="s">
        <v>1061</v>
      </c>
      <c r="K353" s="473">
        <f t="shared" si="28"/>
        <v>2800</v>
      </c>
      <c r="M353" s="473">
        <v>2800</v>
      </c>
    </row>
    <row r="354" spans="1:14">
      <c r="A354" s="472">
        <v>4</v>
      </c>
      <c r="C354" s="472">
        <f t="shared" si="25"/>
        <v>12</v>
      </c>
      <c r="D354" s="472">
        <f t="shared" si="26"/>
        <v>11</v>
      </c>
      <c r="E354" s="472">
        <f t="shared" si="27"/>
        <v>17</v>
      </c>
      <c r="F354" s="472" t="str">
        <f t="shared" si="29"/>
        <v>pm</v>
      </c>
      <c r="G354" s="472" t="s">
        <v>1062</v>
      </c>
      <c r="H354" s="472" t="s">
        <v>397</v>
      </c>
      <c r="I354" s="472" t="s">
        <v>1063</v>
      </c>
      <c r="K354" s="473">
        <f t="shared" si="28"/>
        <v>2800</v>
      </c>
      <c r="M354" s="473">
        <v>2800</v>
      </c>
    </row>
    <row r="355" spans="1:14">
      <c r="A355" s="472">
        <v>6</v>
      </c>
      <c r="C355" s="472">
        <f t="shared" si="25"/>
        <v>13</v>
      </c>
      <c r="D355" s="472">
        <f t="shared" si="26"/>
        <v>13</v>
      </c>
      <c r="E355" s="472">
        <f t="shared" si="27"/>
        <v>17</v>
      </c>
      <c r="F355" s="472" t="str">
        <f t="shared" si="29"/>
        <v>pm</v>
      </c>
      <c r="G355" s="472" t="s">
        <v>1064</v>
      </c>
      <c r="H355" s="472" t="s">
        <v>421</v>
      </c>
      <c r="I355" s="472" t="s">
        <v>1065</v>
      </c>
      <c r="K355" s="473">
        <f t="shared" si="28"/>
        <v>2726.4435267606004</v>
      </c>
      <c r="M355" s="473">
        <v>2800</v>
      </c>
      <c r="N355" s="472">
        <v>2726.4435267606004</v>
      </c>
    </row>
    <row r="356" spans="1:14">
      <c r="A356" s="472">
        <v>1</v>
      </c>
      <c r="C356" s="472">
        <f t="shared" si="25"/>
        <v>14</v>
      </c>
      <c r="D356" s="472">
        <f t="shared" si="26"/>
        <v>14</v>
      </c>
      <c r="E356" s="472">
        <f t="shared" si="27"/>
        <v>17</v>
      </c>
      <c r="F356" s="472" t="str">
        <f t="shared" si="29"/>
        <v>crx</v>
      </c>
      <c r="G356" s="472" t="s">
        <v>1066</v>
      </c>
      <c r="H356" s="472" t="s">
        <v>806</v>
      </c>
      <c r="I356" s="472" t="s">
        <v>1067</v>
      </c>
      <c r="K356" s="473">
        <f t="shared" si="28"/>
        <v>2812.0624491162876</v>
      </c>
      <c r="M356" s="473">
        <v>2800</v>
      </c>
      <c r="N356" s="472">
        <v>2812.0624491162876</v>
      </c>
    </row>
    <row r="357" spans="1:14">
      <c r="A357" s="472">
        <v>3</v>
      </c>
      <c r="C357" s="472">
        <f t="shared" si="25"/>
        <v>15</v>
      </c>
      <c r="D357" s="472">
        <f t="shared" si="26"/>
        <v>15</v>
      </c>
      <c r="E357" s="472">
        <f t="shared" si="27"/>
        <v>17</v>
      </c>
      <c r="F357" s="472" t="str">
        <f t="shared" si="29"/>
        <v>pm</v>
      </c>
      <c r="G357" s="472" t="s">
        <v>1068</v>
      </c>
      <c r="H357" s="472" t="s">
        <v>452</v>
      </c>
      <c r="I357" s="472" t="s">
        <v>1069</v>
      </c>
      <c r="K357" s="473">
        <f t="shared" si="28"/>
        <v>2874.5669843189626</v>
      </c>
      <c r="M357" s="473">
        <v>2800</v>
      </c>
      <c r="N357" s="472">
        <v>2874.5669843189626</v>
      </c>
    </row>
    <row r="358" spans="1:14">
      <c r="A358" s="472">
        <v>2</v>
      </c>
      <c r="C358" s="472">
        <f t="shared" si="25"/>
        <v>16</v>
      </c>
      <c r="D358" s="472">
        <f t="shared" si="26"/>
        <v>16</v>
      </c>
      <c r="E358" s="472">
        <f t="shared" si="27"/>
        <v>17</v>
      </c>
      <c r="F358" s="472" t="str">
        <f t="shared" si="29"/>
        <v>pm</v>
      </c>
      <c r="G358" s="472" t="s">
        <v>1070</v>
      </c>
      <c r="H358" s="472" t="s">
        <v>154</v>
      </c>
      <c r="I358" s="472" t="s">
        <v>1071</v>
      </c>
      <c r="K358" s="473">
        <f t="shared" si="28"/>
        <v>2800</v>
      </c>
      <c r="M358" s="473">
        <v>2800</v>
      </c>
    </row>
    <row r="359" spans="1:14">
      <c r="A359" s="472">
        <v>2</v>
      </c>
      <c r="C359" s="472">
        <f t="shared" si="25"/>
        <v>17</v>
      </c>
      <c r="D359" s="472">
        <f t="shared" si="26"/>
        <v>16</v>
      </c>
      <c r="E359" s="472">
        <f t="shared" si="27"/>
        <v>17</v>
      </c>
      <c r="F359" s="472" t="str">
        <f t="shared" si="29"/>
        <v>pm</v>
      </c>
      <c r="G359" s="472" t="s">
        <v>1072</v>
      </c>
      <c r="H359" s="472" t="s">
        <v>154</v>
      </c>
      <c r="I359" s="472" t="s">
        <v>1073</v>
      </c>
      <c r="K359" s="473">
        <f t="shared" si="28"/>
        <v>2800</v>
      </c>
      <c r="M359" s="473">
        <v>2800</v>
      </c>
    </row>
    <row r="360" spans="1:14">
      <c r="A360" s="472">
        <v>1</v>
      </c>
      <c r="C360" s="472">
        <f t="shared" si="25"/>
        <v>18</v>
      </c>
      <c r="D360" s="472">
        <f t="shared" si="26"/>
        <v>16</v>
      </c>
      <c r="E360" s="472">
        <f t="shared" si="27"/>
        <v>17</v>
      </c>
      <c r="F360" s="472" t="str">
        <f t="shared" si="29"/>
        <v>sox</v>
      </c>
      <c r="G360" s="472" t="s">
        <v>1074</v>
      </c>
      <c r="H360" s="472" t="s">
        <v>630</v>
      </c>
      <c r="I360" s="472" t="s">
        <v>1075</v>
      </c>
      <c r="K360" s="473">
        <f t="shared" si="28"/>
        <v>2800</v>
      </c>
      <c r="M360" s="473">
        <v>2800</v>
      </c>
    </row>
    <row r="361" spans="1:14">
      <c r="A361" s="472">
        <v>3</v>
      </c>
      <c r="C361" s="472">
        <f t="shared" si="25"/>
        <v>19</v>
      </c>
      <c r="D361" s="472">
        <f t="shared" si="26"/>
        <v>19</v>
      </c>
      <c r="E361" s="472">
        <f t="shared" si="27"/>
        <v>17</v>
      </c>
      <c r="F361" s="472" t="str">
        <f t="shared" si="29"/>
        <v>pm</v>
      </c>
      <c r="G361" s="472" t="s">
        <v>1076</v>
      </c>
      <c r="H361" s="472" t="s">
        <v>564</v>
      </c>
      <c r="I361" s="472" t="s">
        <v>1077</v>
      </c>
      <c r="K361" s="473">
        <f t="shared" si="28"/>
        <v>2797.8823937745101</v>
      </c>
      <c r="M361" s="473">
        <v>2800</v>
      </c>
      <c r="N361" s="472">
        <v>2797.8823937745101</v>
      </c>
    </row>
    <row r="362" spans="1:14">
      <c r="A362" s="472">
        <v>1</v>
      </c>
      <c r="C362" s="472">
        <f t="shared" si="25"/>
        <v>20</v>
      </c>
      <c r="D362" s="472">
        <f t="shared" si="26"/>
        <v>20</v>
      </c>
      <c r="E362" s="472">
        <f t="shared" si="27"/>
        <v>17</v>
      </c>
      <c r="F362" s="472" t="str">
        <f t="shared" si="29"/>
        <v>odx</v>
      </c>
      <c r="G362" s="472" t="s">
        <v>1078</v>
      </c>
      <c r="H362" s="472" t="s">
        <v>635</v>
      </c>
      <c r="I362" s="472" t="s">
        <v>1079</v>
      </c>
      <c r="K362" s="473">
        <f t="shared" si="28"/>
        <v>2800</v>
      </c>
      <c r="M362" s="473">
        <v>2800</v>
      </c>
    </row>
    <row r="363" spans="1:14">
      <c r="A363" s="472">
        <v>3</v>
      </c>
      <c r="C363" s="472">
        <f t="shared" si="25"/>
        <v>21</v>
      </c>
      <c r="D363" s="472">
        <f t="shared" si="26"/>
        <v>21</v>
      </c>
      <c r="E363" s="472">
        <f t="shared" si="27"/>
        <v>17</v>
      </c>
      <c r="F363" s="472" t="str">
        <f t="shared" si="29"/>
        <v>pm</v>
      </c>
      <c r="G363" s="472" t="s">
        <v>1080</v>
      </c>
      <c r="H363" s="472" t="s">
        <v>501</v>
      </c>
      <c r="I363" s="472" t="s">
        <v>1081</v>
      </c>
      <c r="K363" s="473">
        <f t="shared" si="28"/>
        <v>2817.626099057934</v>
      </c>
      <c r="M363" s="473">
        <v>2800</v>
      </c>
      <c r="N363" s="472">
        <v>2817.626099057934</v>
      </c>
    </row>
    <row r="364" spans="1:14">
      <c r="A364" s="472">
        <v>5</v>
      </c>
      <c r="C364" s="472">
        <f t="shared" si="25"/>
        <v>22</v>
      </c>
      <c r="D364" s="472">
        <f t="shared" si="26"/>
        <v>22</v>
      </c>
      <c r="E364" s="472">
        <f t="shared" si="27"/>
        <v>17</v>
      </c>
      <c r="F364" s="472" t="str">
        <f t="shared" si="29"/>
        <v>pm</v>
      </c>
      <c r="G364" s="472" t="s">
        <v>1082</v>
      </c>
      <c r="H364" s="472" t="s">
        <v>411</v>
      </c>
      <c r="I364" s="472" t="s">
        <v>1083</v>
      </c>
      <c r="K364" s="473">
        <f t="shared" si="28"/>
        <v>2765.4519842745844</v>
      </c>
      <c r="M364" s="473">
        <v>2800</v>
      </c>
      <c r="N364" s="472">
        <v>2765.4519842745844</v>
      </c>
    </row>
    <row r="365" spans="1:14">
      <c r="A365" s="472">
        <v>6</v>
      </c>
      <c r="C365" s="472">
        <f t="shared" si="25"/>
        <v>23</v>
      </c>
      <c r="D365" s="472">
        <f t="shared" si="26"/>
        <v>23</v>
      </c>
      <c r="E365" s="472">
        <f t="shared" si="27"/>
        <v>17</v>
      </c>
      <c r="F365" s="472" t="str">
        <f t="shared" si="29"/>
        <v>pm</v>
      </c>
      <c r="G365" s="472" t="s">
        <v>1084</v>
      </c>
      <c r="H365" s="472" t="s">
        <v>411</v>
      </c>
      <c r="I365" s="472" t="s">
        <v>1085</v>
      </c>
      <c r="K365" s="473">
        <f t="shared" si="28"/>
        <v>2671.4711193477101</v>
      </c>
      <c r="M365" s="473">
        <v>2800</v>
      </c>
      <c r="N365" s="472">
        <v>2671.4711193477101</v>
      </c>
    </row>
    <row r="366" spans="1:14">
      <c r="A366" s="472">
        <v>2</v>
      </c>
      <c r="C366" s="472">
        <f t="shared" si="25"/>
        <v>24</v>
      </c>
      <c r="D366" s="472">
        <f t="shared" si="26"/>
        <v>24</v>
      </c>
      <c r="E366" s="472">
        <f t="shared" si="27"/>
        <v>17</v>
      </c>
      <c r="F366" s="472" t="str">
        <f t="shared" si="29"/>
        <v>pm</v>
      </c>
      <c r="G366" s="472" t="s">
        <v>1086</v>
      </c>
      <c r="H366" s="472" t="s">
        <v>654</v>
      </c>
      <c r="I366" s="472" t="s">
        <v>1087</v>
      </c>
      <c r="K366" s="473">
        <f t="shared" si="28"/>
        <v>2922.5577973738191</v>
      </c>
      <c r="M366" s="473">
        <v>2800</v>
      </c>
      <c r="N366" s="472">
        <v>2922.5577973738191</v>
      </c>
    </row>
    <row r="367" spans="1:14">
      <c r="A367" s="472">
        <v>1</v>
      </c>
      <c r="C367" s="472">
        <f t="shared" si="25"/>
        <v>25</v>
      </c>
      <c r="D367" s="472">
        <f t="shared" si="26"/>
        <v>25</v>
      </c>
      <c r="E367" s="472">
        <f t="shared" si="27"/>
        <v>17</v>
      </c>
      <c r="F367" s="472" t="str">
        <f t="shared" si="29"/>
        <v>pmx</v>
      </c>
      <c r="G367" s="472" t="s">
        <v>1088</v>
      </c>
      <c r="H367" s="472" t="s">
        <v>346</v>
      </c>
      <c r="I367" s="472" t="s">
        <v>1089</v>
      </c>
      <c r="K367" s="473">
        <f t="shared" si="28"/>
        <v>2800</v>
      </c>
      <c r="M367" s="473">
        <v>2800</v>
      </c>
    </row>
    <row r="368" spans="1:14">
      <c r="A368" s="472">
        <v>4</v>
      </c>
      <c r="C368" s="472">
        <f t="shared" si="25"/>
        <v>26</v>
      </c>
      <c r="D368" s="472">
        <f t="shared" si="26"/>
        <v>26</v>
      </c>
      <c r="E368" s="472">
        <f t="shared" si="27"/>
        <v>17</v>
      </c>
      <c r="F368" s="472" t="str">
        <f t="shared" si="29"/>
        <v>pm</v>
      </c>
      <c r="G368" s="472" t="s">
        <v>1090</v>
      </c>
      <c r="H368" s="472" t="s">
        <v>92</v>
      </c>
      <c r="I368" s="472" t="s">
        <v>1091</v>
      </c>
      <c r="K368" s="473">
        <f t="shared" si="28"/>
        <v>2750</v>
      </c>
      <c r="M368" s="473">
        <v>2750</v>
      </c>
    </row>
    <row r="369" spans="1:15">
      <c r="A369" s="472">
        <v>3</v>
      </c>
      <c r="C369" s="472">
        <f t="shared" si="25"/>
        <v>27</v>
      </c>
      <c r="D369" s="472">
        <f t="shared" si="26"/>
        <v>27</v>
      </c>
      <c r="E369" s="472">
        <f t="shared" si="27"/>
        <v>17</v>
      </c>
      <c r="F369" s="472" t="str">
        <f t="shared" si="29"/>
        <v>pm</v>
      </c>
      <c r="G369" s="472" t="s">
        <v>1092</v>
      </c>
      <c r="H369" s="472" t="s">
        <v>86</v>
      </c>
      <c r="I369" s="472" t="s">
        <v>1093</v>
      </c>
      <c r="K369" s="473">
        <f t="shared" si="28"/>
        <v>2666.6666666666665</v>
      </c>
      <c r="M369" s="473">
        <v>2666.6666666666665</v>
      </c>
    </row>
    <row r="370" spans="1:15">
      <c r="A370" s="472">
        <v>4</v>
      </c>
      <c r="C370" s="472">
        <f t="shared" si="25"/>
        <v>28</v>
      </c>
      <c r="D370" s="472">
        <f t="shared" si="26"/>
        <v>28</v>
      </c>
      <c r="E370" s="472">
        <f t="shared" si="27"/>
        <v>17</v>
      </c>
      <c r="F370" s="472" t="str">
        <f t="shared" si="29"/>
        <v>pm</v>
      </c>
      <c r="G370" s="472" t="s">
        <v>1094</v>
      </c>
      <c r="H370" s="472" t="s">
        <v>92</v>
      </c>
      <c r="I370" s="472" t="s">
        <v>1095</v>
      </c>
      <c r="K370" s="473">
        <f t="shared" si="28"/>
        <v>2650</v>
      </c>
      <c r="M370" s="473">
        <v>2650</v>
      </c>
    </row>
    <row r="371" spans="1:15">
      <c r="A371" s="472">
        <v>6</v>
      </c>
      <c r="C371" s="472">
        <f t="shared" si="25"/>
        <v>29</v>
      </c>
      <c r="D371" s="472">
        <f t="shared" si="26"/>
        <v>29</v>
      </c>
      <c r="E371" s="472">
        <f t="shared" si="27"/>
        <v>17</v>
      </c>
      <c r="F371" s="472" t="str">
        <f t="shared" si="29"/>
        <v>pm</v>
      </c>
      <c r="G371" s="472" t="s">
        <v>1096</v>
      </c>
      <c r="H371" s="472" t="s">
        <v>512</v>
      </c>
      <c r="I371" s="472" t="s">
        <v>1097</v>
      </c>
      <c r="K371" s="473">
        <f t="shared" si="28"/>
        <v>2560.0211427201684</v>
      </c>
      <c r="M371" s="473">
        <v>2633.3333333333335</v>
      </c>
      <c r="O371" s="472">
        <v>2560.0211427201684</v>
      </c>
    </row>
    <row r="372" spans="1:15">
      <c r="A372" s="472">
        <v>6</v>
      </c>
      <c r="C372" s="472">
        <f t="shared" si="25"/>
        <v>30</v>
      </c>
      <c r="D372" s="472">
        <f t="shared" si="26"/>
        <v>30</v>
      </c>
      <c r="E372" s="472">
        <f t="shared" si="27"/>
        <v>17</v>
      </c>
      <c r="F372" s="472" t="str">
        <f t="shared" si="29"/>
        <v>pm</v>
      </c>
      <c r="G372" s="472" t="s">
        <v>1098</v>
      </c>
      <c r="H372" s="472" t="s">
        <v>386</v>
      </c>
      <c r="I372" s="472" t="s">
        <v>1099</v>
      </c>
      <c r="K372" s="473">
        <f t="shared" si="28"/>
        <v>2596.7623955178847</v>
      </c>
      <c r="M372" s="473">
        <v>2633.3333333333335</v>
      </c>
      <c r="O372" s="472">
        <v>2596.7623955178847</v>
      </c>
    </row>
    <row r="373" spans="1:15">
      <c r="A373" s="472">
        <v>3</v>
      </c>
      <c r="C373" s="472">
        <f t="shared" si="25"/>
        <v>31</v>
      </c>
      <c r="D373" s="472">
        <f t="shared" si="26"/>
        <v>31</v>
      </c>
      <c r="E373" s="472">
        <f t="shared" si="27"/>
        <v>17</v>
      </c>
      <c r="F373" s="472" t="str">
        <f t="shared" si="29"/>
        <v>pm</v>
      </c>
      <c r="G373" s="472" t="s">
        <v>1100</v>
      </c>
      <c r="H373" s="472" t="s">
        <v>1101</v>
      </c>
      <c r="I373" s="472" t="s">
        <v>1102</v>
      </c>
      <c r="K373" s="473">
        <f t="shared" si="28"/>
        <v>2594.7575242772618</v>
      </c>
      <c r="M373" s="473">
        <v>2600</v>
      </c>
      <c r="O373" s="472">
        <v>2594.7575242772618</v>
      </c>
    </row>
    <row r="374" spans="1:15">
      <c r="A374" s="472">
        <v>4</v>
      </c>
      <c r="C374" s="472">
        <f t="shared" si="25"/>
        <v>32</v>
      </c>
      <c r="D374" s="472">
        <f t="shared" si="26"/>
        <v>32</v>
      </c>
      <c r="E374" s="472">
        <f t="shared" si="27"/>
        <v>17</v>
      </c>
      <c r="F374" s="472" t="str">
        <f t="shared" si="29"/>
        <v>pm</v>
      </c>
      <c r="G374" s="472" t="s">
        <v>1103</v>
      </c>
      <c r="H374" s="472" t="s">
        <v>540</v>
      </c>
      <c r="I374" s="472" t="s">
        <v>1104</v>
      </c>
      <c r="K374" s="473">
        <f t="shared" si="28"/>
        <v>2600</v>
      </c>
      <c r="M374" s="473">
        <v>2600</v>
      </c>
    </row>
    <row r="375" spans="1:15">
      <c r="A375" s="472">
        <v>2</v>
      </c>
      <c r="C375" s="472">
        <f t="shared" si="25"/>
        <v>33</v>
      </c>
      <c r="D375" s="472">
        <f t="shared" si="26"/>
        <v>32</v>
      </c>
      <c r="E375" s="472">
        <f t="shared" si="27"/>
        <v>17</v>
      </c>
      <c r="F375" s="472" t="str">
        <f t="shared" si="29"/>
        <v>so</v>
      </c>
      <c r="G375" s="472" t="s">
        <v>1105</v>
      </c>
      <c r="H375" s="472" t="s">
        <v>754</v>
      </c>
      <c r="I375" s="472" t="s">
        <v>1106</v>
      </c>
      <c r="K375" s="473">
        <f t="shared" si="28"/>
        <v>2600</v>
      </c>
      <c r="M375" s="473">
        <v>2600</v>
      </c>
    </row>
    <row r="376" spans="1:15">
      <c r="A376" s="472">
        <v>4</v>
      </c>
      <c r="C376" s="472">
        <f t="shared" si="25"/>
        <v>34</v>
      </c>
      <c r="D376" s="472">
        <f t="shared" si="26"/>
        <v>34</v>
      </c>
      <c r="E376" s="472">
        <f t="shared" si="27"/>
        <v>17</v>
      </c>
      <c r="F376" s="472" t="str">
        <f t="shared" si="29"/>
        <v>pm</v>
      </c>
      <c r="G376" s="472" t="s">
        <v>1107</v>
      </c>
      <c r="H376" s="472" t="s">
        <v>676</v>
      </c>
      <c r="I376" s="472" t="s">
        <v>1108</v>
      </c>
      <c r="K376" s="473">
        <f t="shared" si="28"/>
        <v>2455.4022605669384</v>
      </c>
      <c r="M376" s="473">
        <v>2550</v>
      </c>
      <c r="O376" s="472">
        <v>2455.4022605669384</v>
      </c>
    </row>
    <row r="377" spans="1:15">
      <c r="A377" s="472">
        <v>3</v>
      </c>
      <c r="C377" s="472">
        <f t="shared" si="25"/>
        <v>35</v>
      </c>
      <c r="D377" s="472">
        <f t="shared" si="26"/>
        <v>35</v>
      </c>
      <c r="E377" s="472">
        <f t="shared" si="27"/>
        <v>17</v>
      </c>
      <c r="F377" s="472" t="str">
        <f t="shared" si="29"/>
        <v>pm</v>
      </c>
      <c r="G377" s="472" t="s">
        <v>1109</v>
      </c>
      <c r="H377" s="472" t="s">
        <v>117</v>
      </c>
      <c r="I377" s="472" t="s">
        <v>1110</v>
      </c>
      <c r="K377" s="473">
        <f t="shared" si="28"/>
        <v>2533.3333333333335</v>
      </c>
      <c r="M377" s="473">
        <v>2533.3333333333335</v>
      </c>
    </row>
    <row r="378" spans="1:15">
      <c r="A378" s="472">
        <v>3</v>
      </c>
      <c r="C378" s="472">
        <f t="shared" si="25"/>
        <v>36</v>
      </c>
      <c r="D378" s="472">
        <f t="shared" si="26"/>
        <v>36</v>
      </c>
      <c r="E378" s="472">
        <f t="shared" si="27"/>
        <v>17</v>
      </c>
      <c r="F378" s="472" t="str">
        <f t="shared" si="29"/>
        <v>so</v>
      </c>
      <c r="G378" s="472" t="s">
        <v>1111</v>
      </c>
      <c r="H378" s="472" t="s">
        <v>867</v>
      </c>
      <c r="I378" s="472" t="s">
        <v>1112</v>
      </c>
      <c r="K378" s="473">
        <f t="shared" si="28"/>
        <v>2466.6666666666665</v>
      </c>
      <c r="M378" s="473">
        <v>2466.6666666666665</v>
      </c>
    </row>
    <row r="379" spans="1:15">
      <c r="A379" s="472">
        <v>5</v>
      </c>
      <c r="C379" s="472">
        <f t="shared" si="25"/>
        <v>37</v>
      </c>
      <c r="D379" s="472">
        <f t="shared" si="26"/>
        <v>37</v>
      </c>
      <c r="E379" s="472">
        <f t="shared" si="27"/>
        <v>17</v>
      </c>
      <c r="F379" s="472" t="str">
        <f t="shared" si="29"/>
        <v>pm</v>
      </c>
      <c r="G379" s="472" t="s">
        <v>1113</v>
      </c>
      <c r="H379" s="472" t="s">
        <v>870</v>
      </c>
      <c r="I379" s="472" t="s">
        <v>1114</v>
      </c>
      <c r="K379" s="473">
        <f t="shared" si="28"/>
        <v>2425.6436108822677</v>
      </c>
      <c r="M379" s="473">
        <v>2440</v>
      </c>
      <c r="O379" s="472">
        <v>2425.6436108822677</v>
      </c>
    </row>
    <row r="380" spans="1:15">
      <c r="A380" s="472">
        <v>5</v>
      </c>
      <c r="C380" s="472">
        <f t="shared" si="25"/>
        <v>38</v>
      </c>
      <c r="D380" s="472">
        <f t="shared" si="26"/>
        <v>38</v>
      </c>
      <c r="E380" s="472">
        <f t="shared" si="27"/>
        <v>17</v>
      </c>
      <c r="F380" s="472" t="str">
        <f t="shared" si="29"/>
        <v>pm</v>
      </c>
      <c r="G380" s="472" t="s">
        <v>1115</v>
      </c>
      <c r="H380" s="472" t="s">
        <v>301</v>
      </c>
      <c r="I380" s="472" t="s">
        <v>1116</v>
      </c>
      <c r="K380" s="473">
        <f t="shared" si="28"/>
        <v>2490.6768318830891</v>
      </c>
      <c r="M380" s="473">
        <v>2440</v>
      </c>
      <c r="O380" s="472">
        <v>2490.6768318830891</v>
      </c>
    </row>
    <row r="381" spans="1:15">
      <c r="A381" s="472">
        <v>1</v>
      </c>
      <c r="C381" s="472">
        <f t="shared" si="25"/>
        <v>39</v>
      </c>
      <c r="D381" s="472">
        <f t="shared" si="26"/>
        <v>39</v>
      </c>
      <c r="E381" s="472">
        <f t="shared" si="27"/>
        <v>17</v>
      </c>
      <c r="F381" s="472" t="str">
        <f t="shared" si="29"/>
        <v>crx</v>
      </c>
      <c r="G381" s="472" t="s">
        <v>1117</v>
      </c>
      <c r="H381" s="472" t="s">
        <v>340</v>
      </c>
      <c r="I381" s="472" t="s">
        <v>1118</v>
      </c>
      <c r="K381" s="473">
        <f t="shared" si="28"/>
        <v>2400</v>
      </c>
      <c r="M381" s="473">
        <v>2400</v>
      </c>
    </row>
    <row r="382" spans="1:15">
      <c r="A382" s="472">
        <v>4</v>
      </c>
      <c r="C382" s="472">
        <f t="shared" si="25"/>
        <v>40</v>
      </c>
      <c r="D382" s="472">
        <f t="shared" si="26"/>
        <v>39</v>
      </c>
      <c r="E382" s="472">
        <f t="shared" si="27"/>
        <v>17</v>
      </c>
      <c r="F382" s="472" t="str">
        <f t="shared" si="29"/>
        <v>pm</v>
      </c>
      <c r="G382" s="472" t="s">
        <v>1119</v>
      </c>
      <c r="H382" s="472" t="s">
        <v>397</v>
      </c>
      <c r="I382" s="472" t="s">
        <v>1120</v>
      </c>
      <c r="K382" s="473">
        <f t="shared" si="28"/>
        <v>2400</v>
      </c>
      <c r="M382" s="473">
        <v>2400</v>
      </c>
    </row>
    <row r="383" spans="1:15">
      <c r="A383" s="472">
        <v>1</v>
      </c>
      <c r="C383" s="472">
        <f t="shared" si="25"/>
        <v>41</v>
      </c>
      <c r="D383" s="472">
        <f t="shared" si="26"/>
        <v>39</v>
      </c>
      <c r="E383" s="472">
        <f t="shared" si="27"/>
        <v>17</v>
      </c>
      <c r="F383" s="472" t="str">
        <f t="shared" si="29"/>
        <v>sox</v>
      </c>
      <c r="G383" s="472" t="s">
        <v>1121</v>
      </c>
      <c r="H383" s="472" t="s">
        <v>543</v>
      </c>
      <c r="I383" s="472" t="s">
        <v>1122</v>
      </c>
      <c r="K383" s="473">
        <f t="shared" si="28"/>
        <v>2400</v>
      </c>
      <c r="M383" s="473">
        <v>2400</v>
      </c>
    </row>
    <row r="384" spans="1:15">
      <c r="A384" s="472">
        <v>2</v>
      </c>
      <c r="C384" s="472">
        <f t="shared" si="25"/>
        <v>42</v>
      </c>
      <c r="D384" s="472">
        <f t="shared" si="26"/>
        <v>39</v>
      </c>
      <c r="E384" s="472">
        <f t="shared" si="27"/>
        <v>17</v>
      </c>
      <c r="F384" s="472" t="str">
        <f t="shared" si="29"/>
        <v>pm</v>
      </c>
      <c r="G384" s="472" t="s">
        <v>1123</v>
      </c>
      <c r="H384" s="472" t="s">
        <v>154</v>
      </c>
      <c r="I384" s="472" t="s">
        <v>1124</v>
      </c>
      <c r="K384" s="473">
        <f t="shared" si="28"/>
        <v>2400</v>
      </c>
      <c r="M384" s="473">
        <v>2400</v>
      </c>
    </row>
    <row r="385" spans="1:14">
      <c r="A385" s="472">
        <v>1</v>
      </c>
      <c r="C385" s="472">
        <f t="shared" si="25"/>
        <v>43</v>
      </c>
      <c r="D385" s="472">
        <f t="shared" si="26"/>
        <v>39</v>
      </c>
      <c r="E385" s="472">
        <f t="shared" si="27"/>
        <v>17</v>
      </c>
      <c r="F385" s="472" t="str">
        <f t="shared" si="29"/>
        <v>pmx</v>
      </c>
      <c r="G385" s="472" t="s">
        <v>1125</v>
      </c>
      <c r="H385" s="472" t="s">
        <v>154</v>
      </c>
      <c r="I385" s="472" t="s">
        <v>1126</v>
      </c>
      <c r="K385" s="473">
        <f t="shared" si="28"/>
        <v>2400</v>
      </c>
      <c r="M385" s="473">
        <v>2400</v>
      </c>
    </row>
    <row r="386" spans="1:14">
      <c r="A386" s="472">
        <v>1</v>
      </c>
      <c r="C386" s="472">
        <f t="shared" ref="C386:C427" si="30">IF(E386=E385,C385+1,1)</f>
        <v>44</v>
      </c>
      <c r="D386" s="472">
        <f t="shared" ref="D386:D427" si="31">IF(K386=K385,D385,C386)</f>
        <v>39</v>
      </c>
      <c r="E386" s="472">
        <f t="shared" ref="E386:E427" si="32">10+VALUE(RIGHT(LEFT(G386,3),1))</f>
        <v>17</v>
      </c>
      <c r="F386" s="472" t="str">
        <f t="shared" si="29"/>
        <v>sox</v>
      </c>
      <c r="G386" s="472" t="s">
        <v>1127</v>
      </c>
      <c r="H386" s="472" t="s">
        <v>430</v>
      </c>
      <c r="I386" s="472" t="s">
        <v>1128</v>
      </c>
      <c r="K386" s="473">
        <f t="shared" ref="K386:K427" si="33">LOOKUP(1E+100,M386:AC386)</f>
        <v>2400</v>
      </c>
      <c r="M386" s="473">
        <v>2400</v>
      </c>
    </row>
    <row r="387" spans="1:14">
      <c r="A387" s="472">
        <v>4</v>
      </c>
      <c r="C387" s="472">
        <f t="shared" si="30"/>
        <v>45</v>
      </c>
      <c r="D387" s="472">
        <f t="shared" si="31"/>
        <v>39</v>
      </c>
      <c r="E387" s="472">
        <f t="shared" si="32"/>
        <v>17</v>
      </c>
      <c r="F387" s="472" t="str">
        <f t="shared" ref="F387:F427" si="34">RIGHT(G387,2) &amp; IF(A387&lt;2,"x","")</f>
        <v>pm</v>
      </c>
      <c r="G387" s="472" t="s">
        <v>1129</v>
      </c>
      <c r="H387" s="472" t="s">
        <v>86</v>
      </c>
      <c r="I387" s="472" t="s">
        <v>1130</v>
      </c>
      <c r="K387" s="473">
        <f t="shared" si="33"/>
        <v>2400</v>
      </c>
      <c r="M387" s="473">
        <v>2400</v>
      </c>
    </row>
    <row r="388" spans="1:14">
      <c r="A388" s="472">
        <v>1</v>
      </c>
      <c r="C388" s="472">
        <f t="shared" si="30"/>
        <v>46</v>
      </c>
      <c r="D388" s="472">
        <f t="shared" si="31"/>
        <v>39</v>
      </c>
      <c r="E388" s="472">
        <f t="shared" si="32"/>
        <v>17</v>
      </c>
      <c r="F388" s="472" t="str">
        <f t="shared" si="34"/>
        <v>crx</v>
      </c>
      <c r="G388" s="472" t="s">
        <v>1131</v>
      </c>
      <c r="H388" s="472" t="s">
        <v>747</v>
      </c>
      <c r="I388" s="472" t="s">
        <v>1132</v>
      </c>
      <c r="K388" s="473">
        <f t="shared" si="33"/>
        <v>2400</v>
      </c>
      <c r="M388" s="473">
        <v>2400</v>
      </c>
    </row>
    <row r="389" spans="1:14">
      <c r="A389" s="472">
        <v>5</v>
      </c>
      <c r="C389" s="472">
        <f t="shared" si="30"/>
        <v>47</v>
      </c>
      <c r="D389" s="472">
        <f t="shared" si="31"/>
        <v>39</v>
      </c>
      <c r="E389" s="472">
        <f t="shared" si="32"/>
        <v>17</v>
      </c>
      <c r="F389" s="472" t="str">
        <f t="shared" si="34"/>
        <v>pm</v>
      </c>
      <c r="G389" s="472" t="s">
        <v>1133</v>
      </c>
      <c r="H389" s="472" t="s">
        <v>579</v>
      </c>
      <c r="I389" s="472" t="s">
        <v>1134</v>
      </c>
      <c r="K389" s="473">
        <f t="shared" si="33"/>
        <v>2400</v>
      </c>
      <c r="M389" s="473">
        <v>2400</v>
      </c>
    </row>
    <row r="390" spans="1:14">
      <c r="A390" s="472">
        <v>4</v>
      </c>
      <c r="C390" s="472">
        <f t="shared" si="30"/>
        <v>48</v>
      </c>
      <c r="D390" s="472">
        <f t="shared" si="31"/>
        <v>39</v>
      </c>
      <c r="E390" s="472">
        <f t="shared" si="32"/>
        <v>17</v>
      </c>
      <c r="F390" s="472" t="str">
        <f t="shared" si="34"/>
        <v>pm</v>
      </c>
      <c r="G390" s="472" t="s">
        <v>1135</v>
      </c>
      <c r="H390" s="472" t="s">
        <v>1136</v>
      </c>
      <c r="I390" s="472" t="s">
        <v>1137</v>
      </c>
      <c r="K390" s="473">
        <f t="shared" si="33"/>
        <v>2400</v>
      </c>
      <c r="M390" s="473">
        <v>2400</v>
      </c>
    </row>
    <row r="391" spans="1:14">
      <c r="A391" s="472">
        <v>4</v>
      </c>
      <c r="C391" s="472">
        <f t="shared" si="30"/>
        <v>49</v>
      </c>
      <c r="D391" s="472">
        <f t="shared" si="31"/>
        <v>39</v>
      </c>
      <c r="E391" s="472">
        <f t="shared" si="32"/>
        <v>17</v>
      </c>
      <c r="F391" s="472" t="str">
        <f t="shared" si="34"/>
        <v>pm</v>
      </c>
      <c r="G391" s="472" t="s">
        <v>1138</v>
      </c>
      <c r="H391" s="472" t="s">
        <v>483</v>
      </c>
      <c r="I391" s="472" t="s">
        <v>1139</v>
      </c>
      <c r="K391" s="473">
        <f t="shared" si="33"/>
        <v>2400</v>
      </c>
      <c r="M391" s="473">
        <v>2400</v>
      </c>
    </row>
    <row r="392" spans="1:14">
      <c r="A392" s="472">
        <v>2</v>
      </c>
      <c r="C392" s="472">
        <f t="shared" si="30"/>
        <v>1</v>
      </c>
      <c r="D392" s="472">
        <f t="shared" si="31"/>
        <v>1</v>
      </c>
      <c r="E392" s="472">
        <f t="shared" si="32"/>
        <v>18</v>
      </c>
      <c r="F392" s="472" t="str">
        <f t="shared" si="34"/>
        <v>pm</v>
      </c>
      <c r="G392" s="472" t="s">
        <v>1140</v>
      </c>
      <c r="H392" s="472" t="s">
        <v>123</v>
      </c>
      <c r="I392" s="472" t="s">
        <v>1141</v>
      </c>
      <c r="K392" s="473">
        <f t="shared" si="33"/>
        <v>3013.3111133784737</v>
      </c>
      <c r="M392" s="473">
        <v>3000</v>
      </c>
      <c r="N392" s="472">
        <v>3013.3111133784737</v>
      </c>
    </row>
    <row r="393" spans="1:14">
      <c r="A393" s="472">
        <v>1</v>
      </c>
      <c r="C393" s="472">
        <f t="shared" si="30"/>
        <v>2</v>
      </c>
      <c r="D393" s="472">
        <f t="shared" si="31"/>
        <v>2</v>
      </c>
      <c r="E393" s="472">
        <f t="shared" si="32"/>
        <v>18</v>
      </c>
      <c r="F393" s="472" t="str">
        <f t="shared" si="34"/>
        <v>sox</v>
      </c>
      <c r="G393" s="472" t="s">
        <v>1142</v>
      </c>
      <c r="H393" s="472" t="s">
        <v>351</v>
      </c>
      <c r="I393" s="472" t="s">
        <v>1143</v>
      </c>
      <c r="K393" s="473">
        <f t="shared" si="33"/>
        <v>3000</v>
      </c>
      <c r="M393" s="473">
        <v>3000</v>
      </c>
    </row>
    <row r="394" spans="1:14">
      <c r="A394" s="472">
        <v>1</v>
      </c>
      <c r="C394" s="472">
        <f t="shared" si="30"/>
        <v>3</v>
      </c>
      <c r="D394" s="472">
        <f t="shared" si="31"/>
        <v>2</v>
      </c>
      <c r="E394" s="472">
        <f t="shared" si="32"/>
        <v>18</v>
      </c>
      <c r="F394" s="472" t="str">
        <f t="shared" si="34"/>
        <v>sox</v>
      </c>
      <c r="G394" s="472" t="s">
        <v>1144</v>
      </c>
      <c r="H394" s="472" t="s">
        <v>351</v>
      </c>
      <c r="I394" s="472" t="s">
        <v>1145</v>
      </c>
      <c r="K394" s="473">
        <f t="shared" si="33"/>
        <v>3000</v>
      </c>
      <c r="M394" s="473">
        <v>3000</v>
      </c>
    </row>
    <row r="395" spans="1:14">
      <c r="A395" s="472">
        <v>3</v>
      </c>
      <c r="C395" s="472">
        <f t="shared" si="30"/>
        <v>4</v>
      </c>
      <c r="D395" s="472">
        <f t="shared" si="31"/>
        <v>4</v>
      </c>
      <c r="E395" s="472">
        <f t="shared" si="32"/>
        <v>18</v>
      </c>
      <c r="F395" s="472" t="str">
        <f t="shared" si="34"/>
        <v>pm</v>
      </c>
      <c r="G395" s="472" t="s">
        <v>1146</v>
      </c>
      <c r="H395" s="472" t="s">
        <v>370</v>
      </c>
      <c r="I395" s="472" t="s">
        <v>1147</v>
      </c>
      <c r="K395" s="473">
        <f t="shared" si="33"/>
        <v>2913.866898564183</v>
      </c>
      <c r="M395" s="473">
        <v>3000</v>
      </c>
      <c r="N395" s="472">
        <v>2913.866898564183</v>
      </c>
    </row>
    <row r="396" spans="1:14">
      <c r="A396" s="472">
        <v>1</v>
      </c>
      <c r="C396" s="472">
        <f t="shared" si="30"/>
        <v>5</v>
      </c>
      <c r="D396" s="472">
        <f t="shared" si="31"/>
        <v>5</v>
      </c>
      <c r="E396" s="472">
        <f t="shared" si="32"/>
        <v>18</v>
      </c>
      <c r="F396" s="472" t="str">
        <f t="shared" si="34"/>
        <v>crx</v>
      </c>
      <c r="G396" s="472" t="s">
        <v>1148</v>
      </c>
      <c r="H396" s="472" t="s">
        <v>1046</v>
      </c>
      <c r="I396" s="472" t="s">
        <v>1149</v>
      </c>
      <c r="K396" s="473">
        <f t="shared" si="33"/>
        <v>3000</v>
      </c>
      <c r="M396" s="473">
        <v>3000</v>
      </c>
    </row>
    <row r="397" spans="1:14">
      <c r="A397" s="472">
        <v>3</v>
      </c>
      <c r="C397" s="472">
        <f t="shared" si="30"/>
        <v>6</v>
      </c>
      <c r="D397" s="472">
        <f t="shared" si="31"/>
        <v>6</v>
      </c>
      <c r="E397" s="472">
        <f t="shared" si="32"/>
        <v>18</v>
      </c>
      <c r="F397" s="472" t="str">
        <f t="shared" si="34"/>
        <v>pm</v>
      </c>
      <c r="G397" s="472" t="s">
        <v>1150</v>
      </c>
      <c r="H397" s="472" t="s">
        <v>331</v>
      </c>
      <c r="I397" s="472" t="s">
        <v>1151</v>
      </c>
      <c r="K397" s="473">
        <f t="shared" si="33"/>
        <v>3042.4287957562287</v>
      </c>
      <c r="M397" s="473">
        <v>3000</v>
      </c>
      <c r="N397" s="472">
        <v>3042.4287957562287</v>
      </c>
    </row>
    <row r="398" spans="1:14">
      <c r="A398" s="472">
        <v>1</v>
      </c>
      <c r="C398" s="472">
        <f t="shared" si="30"/>
        <v>7</v>
      </c>
      <c r="D398" s="472">
        <f t="shared" si="31"/>
        <v>7</v>
      </c>
      <c r="E398" s="472">
        <f t="shared" si="32"/>
        <v>18</v>
      </c>
      <c r="F398" s="472" t="str">
        <f t="shared" si="34"/>
        <v>sox</v>
      </c>
      <c r="G398" s="472" t="s">
        <v>1152</v>
      </c>
      <c r="H398" s="472" t="s">
        <v>529</v>
      </c>
      <c r="I398" s="472" t="s">
        <v>1153</v>
      </c>
      <c r="K398" s="473">
        <f t="shared" si="33"/>
        <v>3000</v>
      </c>
      <c r="M398" s="473">
        <v>3000</v>
      </c>
    </row>
    <row r="399" spans="1:14">
      <c r="A399" s="472">
        <v>1</v>
      </c>
      <c r="C399" s="472">
        <f t="shared" si="30"/>
        <v>8</v>
      </c>
      <c r="D399" s="472">
        <f t="shared" si="31"/>
        <v>7</v>
      </c>
      <c r="E399" s="472">
        <f t="shared" si="32"/>
        <v>18</v>
      </c>
      <c r="F399" s="472" t="str">
        <f t="shared" si="34"/>
        <v>pmx</v>
      </c>
      <c r="G399" s="472" t="s">
        <v>1154</v>
      </c>
      <c r="H399" s="472" t="s">
        <v>449</v>
      </c>
      <c r="I399" s="472" t="s">
        <v>1155</v>
      </c>
      <c r="K399" s="473">
        <f t="shared" si="33"/>
        <v>3000</v>
      </c>
      <c r="M399" s="473">
        <v>3000</v>
      </c>
    </row>
    <row r="400" spans="1:14">
      <c r="A400" s="472">
        <v>4</v>
      </c>
      <c r="C400" s="472">
        <f t="shared" si="30"/>
        <v>9</v>
      </c>
      <c r="D400" s="472">
        <f t="shared" si="31"/>
        <v>9</v>
      </c>
      <c r="E400" s="472">
        <f t="shared" si="32"/>
        <v>18</v>
      </c>
      <c r="F400" s="472" t="str">
        <f t="shared" si="34"/>
        <v>pm</v>
      </c>
      <c r="G400" s="472" t="s">
        <v>1156</v>
      </c>
      <c r="H400" s="472" t="s">
        <v>799</v>
      </c>
      <c r="I400" s="472" t="s">
        <v>1157</v>
      </c>
      <c r="K400" s="473">
        <f t="shared" si="33"/>
        <v>2980.2992862947854</v>
      </c>
      <c r="M400" s="473">
        <v>3000</v>
      </c>
      <c r="N400" s="472">
        <v>2980.2992862947854</v>
      </c>
    </row>
    <row r="401" spans="1:14">
      <c r="A401" s="472">
        <v>6</v>
      </c>
      <c r="C401" s="472">
        <f t="shared" si="30"/>
        <v>10</v>
      </c>
      <c r="D401" s="472">
        <f t="shared" si="31"/>
        <v>10</v>
      </c>
      <c r="E401" s="472">
        <f t="shared" si="32"/>
        <v>18</v>
      </c>
      <c r="F401" s="472" t="str">
        <f t="shared" si="34"/>
        <v>pm</v>
      </c>
      <c r="G401" s="472" t="s">
        <v>1158</v>
      </c>
      <c r="H401" s="472" t="s">
        <v>394</v>
      </c>
      <c r="I401" s="472" t="s">
        <v>1159</v>
      </c>
      <c r="K401" s="473">
        <f t="shared" si="33"/>
        <v>3000</v>
      </c>
      <c r="M401" s="473">
        <v>3000</v>
      </c>
    </row>
    <row r="402" spans="1:14">
      <c r="A402" s="472">
        <v>6</v>
      </c>
      <c r="C402" s="472">
        <f t="shared" si="30"/>
        <v>11</v>
      </c>
      <c r="D402" s="472">
        <f t="shared" si="31"/>
        <v>11</v>
      </c>
      <c r="E402" s="472">
        <f t="shared" si="32"/>
        <v>18</v>
      </c>
      <c r="F402" s="472" t="str">
        <f t="shared" si="34"/>
        <v>pm</v>
      </c>
      <c r="G402" s="472" t="s">
        <v>1160</v>
      </c>
      <c r="H402" s="472" t="s">
        <v>421</v>
      </c>
      <c r="I402" s="472" t="s">
        <v>1161</v>
      </c>
      <c r="K402" s="473">
        <f t="shared" si="33"/>
        <v>2917.3787570454606</v>
      </c>
      <c r="M402" s="473">
        <v>3000</v>
      </c>
      <c r="N402" s="472">
        <v>2917.3787570454606</v>
      </c>
    </row>
    <row r="403" spans="1:14">
      <c r="A403" s="472">
        <v>1</v>
      </c>
      <c r="C403" s="472">
        <f t="shared" si="30"/>
        <v>12</v>
      </c>
      <c r="D403" s="472">
        <f t="shared" si="31"/>
        <v>12</v>
      </c>
      <c r="E403" s="472">
        <f t="shared" si="32"/>
        <v>18</v>
      </c>
      <c r="F403" s="472" t="str">
        <f t="shared" si="34"/>
        <v>odx</v>
      </c>
      <c r="G403" s="472" t="s">
        <v>1162</v>
      </c>
      <c r="H403" s="472" t="s">
        <v>811</v>
      </c>
      <c r="I403" s="472" t="s">
        <v>812</v>
      </c>
      <c r="K403" s="473">
        <f t="shared" si="33"/>
        <v>3096.2801230484952</v>
      </c>
      <c r="M403" s="473">
        <v>3000</v>
      </c>
      <c r="N403" s="472">
        <v>3096.2801230484952</v>
      </c>
    </row>
    <row r="404" spans="1:14">
      <c r="A404" s="472">
        <v>2</v>
      </c>
      <c r="C404" s="472">
        <f t="shared" si="30"/>
        <v>13</v>
      </c>
      <c r="D404" s="472">
        <f t="shared" si="31"/>
        <v>13</v>
      </c>
      <c r="E404" s="472">
        <f t="shared" si="32"/>
        <v>18</v>
      </c>
      <c r="F404" s="472" t="str">
        <f t="shared" si="34"/>
        <v>pm</v>
      </c>
      <c r="G404" s="472" t="s">
        <v>1163</v>
      </c>
      <c r="H404" s="472" t="s">
        <v>154</v>
      </c>
      <c r="I404" s="472" t="s">
        <v>1164</v>
      </c>
      <c r="K404" s="473">
        <f t="shared" si="33"/>
        <v>3000</v>
      </c>
      <c r="M404" s="473">
        <v>3000</v>
      </c>
    </row>
    <row r="405" spans="1:14">
      <c r="A405" s="472">
        <v>2</v>
      </c>
      <c r="C405" s="472">
        <f t="shared" si="30"/>
        <v>14</v>
      </c>
      <c r="D405" s="472">
        <f t="shared" si="31"/>
        <v>13</v>
      </c>
      <c r="E405" s="472">
        <f t="shared" si="32"/>
        <v>18</v>
      </c>
      <c r="F405" s="472" t="str">
        <f t="shared" si="34"/>
        <v>pm</v>
      </c>
      <c r="G405" s="472" t="s">
        <v>1165</v>
      </c>
      <c r="H405" s="472" t="s">
        <v>154</v>
      </c>
      <c r="I405" s="472" t="s">
        <v>1166</v>
      </c>
      <c r="K405" s="473">
        <f t="shared" si="33"/>
        <v>3000</v>
      </c>
      <c r="M405" s="473">
        <v>3000</v>
      </c>
    </row>
    <row r="406" spans="1:14">
      <c r="A406" s="472">
        <v>1</v>
      </c>
      <c r="C406" s="472">
        <f t="shared" si="30"/>
        <v>15</v>
      </c>
      <c r="D406" s="472">
        <f t="shared" si="31"/>
        <v>13</v>
      </c>
      <c r="E406" s="472">
        <f t="shared" si="32"/>
        <v>18</v>
      </c>
      <c r="F406" s="472" t="str">
        <f t="shared" si="34"/>
        <v>sox</v>
      </c>
      <c r="G406" s="472" t="s">
        <v>1167</v>
      </c>
      <c r="H406" s="472" t="s">
        <v>630</v>
      </c>
      <c r="I406" s="472" t="s">
        <v>1168</v>
      </c>
      <c r="K406" s="473">
        <f t="shared" si="33"/>
        <v>3000</v>
      </c>
      <c r="M406" s="473">
        <v>3000</v>
      </c>
    </row>
    <row r="407" spans="1:14">
      <c r="A407" s="472">
        <v>1</v>
      </c>
      <c r="C407" s="472">
        <f t="shared" si="30"/>
        <v>16</v>
      </c>
      <c r="D407" s="472">
        <f t="shared" si="31"/>
        <v>13</v>
      </c>
      <c r="E407" s="472">
        <f t="shared" si="32"/>
        <v>18</v>
      </c>
      <c r="F407" s="472" t="str">
        <f t="shared" si="34"/>
        <v>odx</v>
      </c>
      <c r="G407" s="472" t="s">
        <v>1169</v>
      </c>
      <c r="H407" s="472" t="s">
        <v>635</v>
      </c>
      <c r="I407" s="472" t="s">
        <v>1170</v>
      </c>
      <c r="K407" s="473">
        <f t="shared" si="33"/>
        <v>3000</v>
      </c>
      <c r="M407" s="473">
        <v>3000</v>
      </c>
    </row>
    <row r="408" spans="1:14">
      <c r="A408" s="472">
        <v>1</v>
      </c>
      <c r="C408" s="472">
        <f t="shared" si="30"/>
        <v>17</v>
      </c>
      <c r="D408" s="472">
        <f t="shared" si="31"/>
        <v>13</v>
      </c>
      <c r="E408" s="472">
        <f t="shared" si="32"/>
        <v>18</v>
      </c>
      <c r="F408" s="472" t="str">
        <f t="shared" si="34"/>
        <v>sox</v>
      </c>
      <c r="G408" s="472" t="s">
        <v>1171</v>
      </c>
      <c r="H408" s="472" t="s">
        <v>1172</v>
      </c>
      <c r="I408" s="472" t="s">
        <v>1173</v>
      </c>
      <c r="K408" s="473">
        <f t="shared" si="33"/>
        <v>3000</v>
      </c>
      <c r="M408" s="473">
        <v>3000</v>
      </c>
    </row>
    <row r="409" spans="1:14">
      <c r="A409" s="472">
        <v>2</v>
      </c>
      <c r="C409" s="472">
        <f t="shared" si="30"/>
        <v>18</v>
      </c>
      <c r="D409" s="472">
        <f t="shared" si="31"/>
        <v>13</v>
      </c>
      <c r="E409" s="472">
        <f t="shared" si="32"/>
        <v>18</v>
      </c>
      <c r="F409" s="472" t="str">
        <f t="shared" si="34"/>
        <v>pm</v>
      </c>
      <c r="G409" s="472" t="s">
        <v>1174</v>
      </c>
      <c r="H409" s="472" t="s">
        <v>86</v>
      </c>
      <c r="I409" s="472" t="s">
        <v>1175</v>
      </c>
      <c r="K409" s="473">
        <f t="shared" si="33"/>
        <v>3000</v>
      </c>
      <c r="M409" s="473">
        <v>3000</v>
      </c>
    </row>
    <row r="410" spans="1:14">
      <c r="A410" s="472">
        <v>1</v>
      </c>
      <c r="C410" s="472">
        <f t="shared" si="30"/>
        <v>19</v>
      </c>
      <c r="D410" s="472">
        <f t="shared" si="31"/>
        <v>13</v>
      </c>
      <c r="E410" s="472">
        <f t="shared" si="32"/>
        <v>18</v>
      </c>
      <c r="F410" s="472" t="str">
        <f t="shared" si="34"/>
        <v>crx</v>
      </c>
      <c r="G410" s="472" t="s">
        <v>1176</v>
      </c>
      <c r="H410" s="472" t="s">
        <v>836</v>
      </c>
      <c r="I410" s="472" t="s">
        <v>1177</v>
      </c>
      <c r="K410" s="473">
        <f t="shared" si="33"/>
        <v>3000</v>
      </c>
      <c r="M410" s="473">
        <v>3000</v>
      </c>
    </row>
    <row r="411" spans="1:14">
      <c r="A411" s="472">
        <v>1</v>
      </c>
      <c r="C411" s="472">
        <f t="shared" si="30"/>
        <v>20</v>
      </c>
      <c r="D411" s="472">
        <f t="shared" si="31"/>
        <v>13</v>
      </c>
      <c r="E411" s="472">
        <f t="shared" si="32"/>
        <v>18</v>
      </c>
      <c r="F411" s="472" t="str">
        <f t="shared" si="34"/>
        <v>crx</v>
      </c>
      <c r="G411" s="472" t="s">
        <v>1178</v>
      </c>
      <c r="H411" s="472" t="s">
        <v>836</v>
      </c>
      <c r="I411" s="472" t="s">
        <v>1179</v>
      </c>
      <c r="K411" s="473">
        <f t="shared" si="33"/>
        <v>3000</v>
      </c>
      <c r="M411" s="473">
        <v>3000</v>
      </c>
    </row>
    <row r="412" spans="1:14">
      <c r="A412" s="472">
        <v>1</v>
      </c>
      <c r="C412" s="472">
        <f t="shared" si="30"/>
        <v>21</v>
      </c>
      <c r="D412" s="472">
        <f t="shared" si="31"/>
        <v>21</v>
      </c>
      <c r="E412" s="472">
        <f t="shared" si="32"/>
        <v>18</v>
      </c>
      <c r="F412" s="472" t="str">
        <f t="shared" si="34"/>
        <v>crx</v>
      </c>
      <c r="G412" s="472" t="s">
        <v>1180</v>
      </c>
      <c r="H412" s="472" t="s">
        <v>843</v>
      </c>
      <c r="I412" s="472" t="s">
        <v>1181</v>
      </c>
      <c r="K412" s="473">
        <f t="shared" si="33"/>
        <v>2937.5737782198325</v>
      </c>
      <c r="M412" s="473">
        <v>3000</v>
      </c>
      <c r="N412" s="472">
        <v>2937.5737782198325</v>
      </c>
    </row>
    <row r="413" spans="1:14">
      <c r="A413" s="472">
        <v>5</v>
      </c>
      <c r="C413" s="472">
        <f t="shared" si="30"/>
        <v>22</v>
      </c>
      <c r="D413" s="472">
        <f t="shared" si="31"/>
        <v>22</v>
      </c>
      <c r="E413" s="472">
        <f t="shared" si="32"/>
        <v>18</v>
      </c>
      <c r="F413" s="472" t="str">
        <f t="shared" si="34"/>
        <v>pm</v>
      </c>
      <c r="G413" s="472" t="s">
        <v>1182</v>
      </c>
      <c r="H413" s="472" t="s">
        <v>654</v>
      </c>
      <c r="I413" s="472" t="s">
        <v>1183</v>
      </c>
      <c r="K413" s="473">
        <f t="shared" si="33"/>
        <v>3009.2514829430538</v>
      </c>
      <c r="M413" s="473">
        <v>3000</v>
      </c>
      <c r="N413" s="472">
        <v>3009.2514829430538</v>
      </c>
    </row>
    <row r="414" spans="1:14">
      <c r="A414" s="472">
        <v>1</v>
      </c>
      <c r="C414" s="472">
        <f t="shared" si="30"/>
        <v>23</v>
      </c>
      <c r="D414" s="472">
        <f t="shared" si="31"/>
        <v>23</v>
      </c>
      <c r="E414" s="472">
        <f t="shared" si="32"/>
        <v>18</v>
      </c>
      <c r="F414" s="472" t="str">
        <f t="shared" si="34"/>
        <v>pmx</v>
      </c>
      <c r="G414" s="472" t="s">
        <v>1184</v>
      </c>
      <c r="H414" s="472" t="s">
        <v>346</v>
      </c>
      <c r="I414" s="472" t="s">
        <v>1185</v>
      </c>
      <c r="K414" s="473">
        <f t="shared" si="33"/>
        <v>3000</v>
      </c>
      <c r="M414" s="473">
        <v>3000</v>
      </c>
    </row>
    <row r="415" spans="1:14">
      <c r="A415" s="472">
        <v>1</v>
      </c>
      <c r="C415" s="472">
        <f t="shared" si="30"/>
        <v>24</v>
      </c>
      <c r="D415" s="472">
        <f t="shared" si="31"/>
        <v>23</v>
      </c>
      <c r="E415" s="472">
        <f t="shared" si="32"/>
        <v>18</v>
      </c>
      <c r="F415" s="472" t="str">
        <f t="shared" si="34"/>
        <v>pmx</v>
      </c>
      <c r="G415" s="472" t="s">
        <v>1186</v>
      </c>
      <c r="H415" s="472" t="s">
        <v>346</v>
      </c>
      <c r="I415" s="472" t="s">
        <v>1187</v>
      </c>
      <c r="K415" s="473">
        <f t="shared" si="33"/>
        <v>3000</v>
      </c>
      <c r="M415" s="473">
        <v>3000</v>
      </c>
    </row>
    <row r="416" spans="1:14">
      <c r="A416" s="472">
        <v>1</v>
      </c>
      <c r="C416" s="472">
        <f t="shared" si="30"/>
        <v>25</v>
      </c>
      <c r="D416" s="472">
        <f t="shared" si="31"/>
        <v>23</v>
      </c>
      <c r="E416" s="472">
        <f t="shared" si="32"/>
        <v>18</v>
      </c>
      <c r="F416" s="472" t="str">
        <f t="shared" si="34"/>
        <v>pmx</v>
      </c>
      <c r="G416" s="472" t="s">
        <v>1188</v>
      </c>
      <c r="H416" s="472" t="s">
        <v>346</v>
      </c>
      <c r="I416" s="472" t="s">
        <v>1189</v>
      </c>
      <c r="K416" s="473">
        <f t="shared" si="33"/>
        <v>3000</v>
      </c>
      <c r="M416" s="473">
        <v>3000</v>
      </c>
    </row>
    <row r="417" spans="1:15">
      <c r="A417" s="472">
        <v>4</v>
      </c>
      <c r="C417" s="472">
        <f t="shared" si="30"/>
        <v>26</v>
      </c>
      <c r="D417" s="472">
        <f t="shared" si="31"/>
        <v>26</v>
      </c>
      <c r="E417" s="472">
        <f t="shared" si="32"/>
        <v>18</v>
      </c>
      <c r="F417" s="472" t="str">
        <f t="shared" si="34"/>
        <v>pm</v>
      </c>
      <c r="G417" s="472" t="s">
        <v>1190</v>
      </c>
      <c r="H417" s="472" t="s">
        <v>1191</v>
      </c>
      <c r="I417" s="472" t="s">
        <v>1192</v>
      </c>
      <c r="K417" s="473">
        <f t="shared" si="33"/>
        <v>2900</v>
      </c>
      <c r="M417" s="473">
        <v>2900</v>
      </c>
    </row>
    <row r="418" spans="1:15">
      <c r="A418" s="472">
        <v>4</v>
      </c>
      <c r="C418" s="472">
        <f t="shared" si="30"/>
        <v>27</v>
      </c>
      <c r="D418" s="472">
        <f t="shared" si="31"/>
        <v>27</v>
      </c>
      <c r="E418" s="472">
        <f t="shared" si="32"/>
        <v>18</v>
      </c>
      <c r="F418" s="472" t="str">
        <f t="shared" si="34"/>
        <v>pm</v>
      </c>
      <c r="G418" s="472" t="s">
        <v>1193</v>
      </c>
      <c r="H418" s="472" t="s">
        <v>301</v>
      </c>
      <c r="I418" s="472" t="s">
        <v>1194</v>
      </c>
      <c r="K418" s="473">
        <f t="shared" si="33"/>
        <v>2846.6730164220471</v>
      </c>
      <c r="M418" s="473">
        <v>2900</v>
      </c>
      <c r="O418" s="472">
        <v>2846.6730164220471</v>
      </c>
    </row>
    <row r="419" spans="1:15">
      <c r="A419" s="472">
        <v>4</v>
      </c>
      <c r="C419" s="472">
        <f t="shared" si="30"/>
        <v>28</v>
      </c>
      <c r="D419" s="472">
        <f t="shared" si="31"/>
        <v>28</v>
      </c>
      <c r="E419" s="472">
        <f t="shared" si="32"/>
        <v>18</v>
      </c>
      <c r="F419" s="472" t="str">
        <f t="shared" si="34"/>
        <v>pm</v>
      </c>
      <c r="G419" s="472" t="s">
        <v>1195</v>
      </c>
      <c r="H419" s="472" t="s">
        <v>402</v>
      </c>
      <c r="I419" s="472" t="s">
        <v>1196</v>
      </c>
      <c r="K419" s="473">
        <f t="shared" si="33"/>
        <v>2779.3399633647014</v>
      </c>
      <c r="M419" s="473">
        <v>2700</v>
      </c>
      <c r="O419" s="472">
        <v>2779.3399633647014</v>
      </c>
    </row>
    <row r="420" spans="1:15">
      <c r="A420" s="472">
        <v>6</v>
      </c>
      <c r="C420" s="472">
        <f t="shared" si="30"/>
        <v>29</v>
      </c>
      <c r="D420" s="472">
        <f t="shared" si="31"/>
        <v>29</v>
      </c>
      <c r="E420" s="472">
        <f t="shared" si="32"/>
        <v>18</v>
      </c>
      <c r="F420" s="472" t="str">
        <f t="shared" si="34"/>
        <v>pm</v>
      </c>
      <c r="G420" s="472" t="s">
        <v>1197</v>
      </c>
      <c r="H420" s="472" t="s">
        <v>671</v>
      </c>
      <c r="I420" s="472" t="s">
        <v>1198</v>
      </c>
      <c r="K420" s="473">
        <f t="shared" si="33"/>
        <v>2611.9315376700629</v>
      </c>
      <c r="M420" s="473">
        <v>2666.6666666666665</v>
      </c>
      <c r="O420" s="472">
        <v>2611.9315376700629</v>
      </c>
    </row>
    <row r="421" spans="1:15">
      <c r="A421" s="472">
        <v>6</v>
      </c>
      <c r="C421" s="472">
        <f t="shared" si="30"/>
        <v>30</v>
      </c>
      <c r="D421" s="472">
        <f t="shared" si="31"/>
        <v>30</v>
      </c>
      <c r="E421" s="472">
        <f t="shared" si="32"/>
        <v>18</v>
      </c>
      <c r="F421" s="472" t="str">
        <f t="shared" si="34"/>
        <v>pm</v>
      </c>
      <c r="G421" s="472" t="s">
        <v>1199</v>
      </c>
      <c r="H421" s="472" t="s">
        <v>687</v>
      </c>
      <c r="I421" s="472" t="s">
        <v>1200</v>
      </c>
      <c r="K421" s="473">
        <f t="shared" si="33"/>
        <v>2577.1044117324004</v>
      </c>
      <c r="M421" s="473">
        <v>2600</v>
      </c>
      <c r="O421" s="472">
        <v>2577.1044117324004</v>
      </c>
    </row>
    <row r="422" spans="1:15">
      <c r="A422" s="472">
        <v>2</v>
      </c>
      <c r="C422" s="472">
        <f t="shared" si="30"/>
        <v>31</v>
      </c>
      <c r="D422" s="472">
        <f t="shared" si="31"/>
        <v>31</v>
      </c>
      <c r="E422" s="472">
        <f t="shared" si="32"/>
        <v>18</v>
      </c>
      <c r="F422" s="472" t="str">
        <f t="shared" si="34"/>
        <v>cr</v>
      </c>
      <c r="G422" s="472" t="s">
        <v>1201</v>
      </c>
      <c r="H422" s="472" t="s">
        <v>405</v>
      </c>
      <c r="I422" s="472" t="s">
        <v>1202</v>
      </c>
      <c r="K422" s="473">
        <f t="shared" si="33"/>
        <v>2600</v>
      </c>
      <c r="M422" s="473">
        <v>2600</v>
      </c>
    </row>
    <row r="423" spans="1:15">
      <c r="A423" s="472">
        <v>1</v>
      </c>
      <c r="C423" s="472">
        <f t="shared" si="30"/>
        <v>32</v>
      </c>
      <c r="D423" s="472">
        <f t="shared" si="31"/>
        <v>31</v>
      </c>
      <c r="E423" s="472">
        <f t="shared" si="32"/>
        <v>18</v>
      </c>
      <c r="F423" s="472" t="str">
        <f t="shared" si="34"/>
        <v>sox</v>
      </c>
      <c r="G423" s="472" t="s">
        <v>1203</v>
      </c>
      <c r="H423" s="472" t="s">
        <v>430</v>
      </c>
      <c r="I423" s="472" t="s">
        <v>1204</v>
      </c>
      <c r="K423" s="473">
        <f t="shared" si="33"/>
        <v>2600</v>
      </c>
      <c r="M423" s="473">
        <v>2600</v>
      </c>
    </row>
    <row r="424" spans="1:15">
      <c r="A424" s="472">
        <v>1</v>
      </c>
      <c r="C424" s="472">
        <f t="shared" si="30"/>
        <v>33</v>
      </c>
      <c r="D424" s="472">
        <f t="shared" si="31"/>
        <v>33</v>
      </c>
      <c r="E424" s="472">
        <f t="shared" si="32"/>
        <v>18</v>
      </c>
      <c r="F424" s="472" t="str">
        <f t="shared" si="34"/>
        <v>crx</v>
      </c>
      <c r="G424" s="472" t="s">
        <v>1205</v>
      </c>
      <c r="H424" s="472" t="s">
        <v>1012</v>
      </c>
      <c r="I424" s="472" t="s">
        <v>1206</v>
      </c>
      <c r="K424" s="473">
        <f t="shared" si="33"/>
        <v>2640.8674746048582</v>
      </c>
      <c r="M424" s="473">
        <v>2600</v>
      </c>
      <c r="O424" s="472">
        <v>2640.8674746048582</v>
      </c>
    </row>
    <row r="425" spans="1:15">
      <c r="A425" s="472">
        <v>7</v>
      </c>
      <c r="C425" s="472">
        <f t="shared" si="30"/>
        <v>34</v>
      </c>
      <c r="D425" s="472">
        <f t="shared" si="31"/>
        <v>34</v>
      </c>
      <c r="E425" s="472">
        <f t="shared" si="32"/>
        <v>18</v>
      </c>
      <c r="F425" s="472" t="str">
        <f t="shared" si="34"/>
        <v>pm</v>
      </c>
      <c r="G425" s="472" t="s">
        <v>1207</v>
      </c>
      <c r="H425" s="472" t="s">
        <v>1012</v>
      </c>
      <c r="I425" s="472" t="s">
        <v>1208</v>
      </c>
      <c r="K425" s="473">
        <f t="shared" si="33"/>
        <v>2642.7403530234815</v>
      </c>
      <c r="M425" s="473">
        <v>2600</v>
      </c>
      <c r="O425" s="472">
        <v>2642.7403530234815</v>
      </c>
    </row>
    <row r="426" spans="1:15">
      <c r="A426" s="472">
        <v>5</v>
      </c>
      <c r="C426" s="472">
        <f t="shared" si="30"/>
        <v>35</v>
      </c>
      <c r="D426" s="472">
        <f t="shared" si="31"/>
        <v>35</v>
      </c>
      <c r="E426" s="472">
        <f t="shared" si="32"/>
        <v>18</v>
      </c>
      <c r="F426" s="472" t="str">
        <f t="shared" si="34"/>
        <v>pm</v>
      </c>
      <c r="G426" s="472" t="s">
        <v>1209</v>
      </c>
      <c r="H426" s="472" t="s">
        <v>579</v>
      </c>
      <c r="I426" s="472" t="s">
        <v>1210</v>
      </c>
      <c r="K426" s="473">
        <f t="shared" si="33"/>
        <v>2600</v>
      </c>
      <c r="M426" s="473">
        <v>2600</v>
      </c>
    </row>
    <row r="427" spans="1:15">
      <c r="A427" s="472">
        <v>4</v>
      </c>
      <c r="C427" s="472">
        <f t="shared" si="30"/>
        <v>36</v>
      </c>
      <c r="D427" s="472">
        <f t="shared" si="31"/>
        <v>36</v>
      </c>
      <c r="E427" s="472">
        <f t="shared" si="32"/>
        <v>18</v>
      </c>
      <c r="F427" s="472" t="str">
        <f t="shared" si="34"/>
        <v>pm</v>
      </c>
      <c r="G427" s="472" t="s">
        <v>1211</v>
      </c>
      <c r="H427" s="472" t="s">
        <v>1212</v>
      </c>
      <c r="I427" s="472" t="s">
        <v>1213</v>
      </c>
      <c r="K427" s="473">
        <f t="shared" si="33"/>
        <v>2685.7083809585338</v>
      </c>
      <c r="M427" s="473">
        <v>2600</v>
      </c>
      <c r="O427" s="472">
        <v>2685.7083809585338</v>
      </c>
    </row>
  </sheetData>
  <conditionalFormatting sqref="G1:I1">
    <cfRule type="containsText" dxfId="233" priority="117" operator="containsText" text="CSRA">
      <formula>NOT(ISERROR(SEARCH("CSRA",G1)))</formula>
    </cfRule>
  </conditionalFormatting>
  <conditionalFormatting sqref="AK1:XFD1048576 A1:AH1048576">
    <cfRule type="expression" dxfId="232" priority="109">
      <formula>$E1&lt;12</formula>
    </cfRule>
    <cfRule type="expression" dxfId="231" priority="110">
      <formula>$E1=18</formula>
    </cfRule>
    <cfRule type="expression" dxfId="230" priority="111">
      <formula>$E1=17</formula>
    </cfRule>
    <cfRule type="expression" dxfId="229" priority="112">
      <formula>$E1=16</formula>
    </cfRule>
    <cfRule type="expression" dxfId="228" priority="113">
      <formula>$E1=15</formula>
    </cfRule>
    <cfRule type="expression" dxfId="227" priority="114">
      <formula>$E1=14</formula>
    </cfRule>
    <cfRule type="expression" dxfId="226" priority="115">
      <formula>$E1=13</formula>
    </cfRule>
    <cfRule type="expression" dxfId="225" priority="116">
      <formula>$E1=12</formula>
    </cfRule>
  </conditionalFormatting>
  <conditionalFormatting sqref="AK1:XFD1048576 A1:AH1048576">
    <cfRule type="expression" dxfId="224" priority="100">
      <formula>$E1=10</formula>
    </cfRule>
    <cfRule type="expression" dxfId="223" priority="101">
      <formula>$E1=11</formula>
    </cfRule>
    <cfRule type="expression" dxfId="222" priority="102">
      <formula>$E1=18</formula>
    </cfRule>
    <cfRule type="expression" dxfId="221" priority="103">
      <formula>$E1=17</formula>
    </cfRule>
    <cfRule type="expression" dxfId="220" priority="104">
      <formula>$E1=16</formula>
    </cfRule>
    <cfRule type="expression" dxfId="219" priority="105">
      <formula>$E1=15</formula>
    </cfRule>
    <cfRule type="expression" dxfId="218" priority="106">
      <formula>$E1=14</formula>
    </cfRule>
    <cfRule type="expression" dxfId="217" priority="107">
      <formula>$E1=13</formula>
    </cfRule>
    <cfRule type="expression" dxfId="216" priority="108">
      <formula>$E1=12</formula>
    </cfRule>
  </conditionalFormatting>
  <conditionalFormatting sqref="A255:AH255 AK255:XFD255">
    <cfRule type="expression" dxfId="215" priority="91">
      <formula>$E255=10</formula>
    </cfRule>
    <cfRule type="expression" dxfId="214" priority="92">
      <formula>$E255=11</formula>
    </cfRule>
    <cfRule type="expression" dxfId="213" priority="93">
      <formula>$E255=18</formula>
    </cfRule>
    <cfRule type="expression" dxfId="212" priority="94">
      <formula>$E255=17</formula>
    </cfRule>
    <cfRule type="expression" dxfId="211" priority="95">
      <formula>$E255=16</formula>
    </cfRule>
    <cfRule type="expression" dxfId="210" priority="96">
      <formula>$E255=15</formula>
    </cfRule>
    <cfRule type="expression" dxfId="209" priority="97">
      <formula>$E255=14</formula>
    </cfRule>
    <cfRule type="expression" dxfId="208" priority="98">
      <formula>$E255=13</formula>
    </cfRule>
    <cfRule type="expression" dxfId="207" priority="99">
      <formula>$E255=12</formula>
    </cfRule>
  </conditionalFormatting>
  <conditionalFormatting sqref="AK265:XFD268 IX258:XFD263 A265:AH268">
    <cfRule type="expression" dxfId="206" priority="82">
      <formula>$E258=10</formula>
    </cfRule>
    <cfRule type="expression" dxfId="205" priority="83">
      <formula>$E258=11</formula>
    </cfRule>
    <cfRule type="expression" dxfId="204" priority="84">
      <formula>$E258=18</formula>
    </cfRule>
    <cfRule type="expression" dxfId="203" priority="85">
      <formula>$E258=17</formula>
    </cfRule>
    <cfRule type="expression" dxfId="202" priority="86">
      <formula>$E258=16</formula>
    </cfRule>
    <cfRule type="expression" dxfId="201" priority="87">
      <formula>$E258=15</formula>
    </cfRule>
    <cfRule type="expression" dxfId="200" priority="88">
      <formula>$E258=14</formula>
    </cfRule>
    <cfRule type="expression" dxfId="199" priority="89">
      <formula>$E258=13</formula>
    </cfRule>
    <cfRule type="expression" dxfId="198" priority="90">
      <formula>$E258=12</formula>
    </cfRule>
  </conditionalFormatting>
  <conditionalFormatting sqref="A262:AH262 A261:F261 J261:AH261 H263 K263:AH263 A263:F263 AK261:IW263">
    <cfRule type="expression" dxfId="197" priority="73">
      <formula>$E261=10</formula>
    </cfRule>
    <cfRule type="expression" dxfId="196" priority="74">
      <formula>$E261=11</formula>
    </cfRule>
    <cfRule type="expression" dxfId="195" priority="75">
      <formula>$E261=18</formula>
    </cfRule>
    <cfRule type="expression" dxfId="194" priority="76">
      <formula>$E261=17</formula>
    </cfRule>
    <cfRule type="expression" dxfId="193" priority="77">
      <formula>$E261=16</formula>
    </cfRule>
    <cfRule type="expression" dxfId="192" priority="78">
      <formula>$E261=15</formula>
    </cfRule>
    <cfRule type="expression" dxfId="191" priority="79">
      <formula>$E261=14</formula>
    </cfRule>
    <cfRule type="expression" dxfId="190" priority="80">
      <formula>$E261=13</formula>
    </cfRule>
    <cfRule type="expression" dxfId="189" priority="81">
      <formula>$E261=12</formula>
    </cfRule>
  </conditionalFormatting>
  <conditionalFormatting sqref="H261">
    <cfRule type="expression" dxfId="188" priority="64">
      <formula>$E261=10</formula>
    </cfRule>
    <cfRule type="expression" dxfId="187" priority="65">
      <formula>$E261=11</formula>
    </cfRule>
    <cfRule type="expression" dxfId="186" priority="66">
      <formula>$E261=18</formula>
    </cfRule>
    <cfRule type="expression" dxfId="185" priority="67">
      <formula>$E261=17</formula>
    </cfRule>
    <cfRule type="expression" dxfId="184" priority="68">
      <formula>$E261=16</formula>
    </cfRule>
    <cfRule type="expression" dxfId="183" priority="69">
      <formula>$E261=15</formula>
    </cfRule>
    <cfRule type="expression" dxfId="182" priority="70">
      <formula>$E261=14</formula>
    </cfRule>
    <cfRule type="expression" dxfId="181" priority="71">
      <formula>$E261=13</formula>
    </cfRule>
    <cfRule type="expression" dxfId="180" priority="72">
      <formula>$E261=12</formula>
    </cfRule>
  </conditionalFormatting>
  <conditionalFormatting sqref="A258:AH260 C261:F427 AK258:IW260">
    <cfRule type="expression" dxfId="179" priority="55">
      <formula>$E258=10</formula>
    </cfRule>
    <cfRule type="expression" dxfId="178" priority="56">
      <formula>$E258=11</formula>
    </cfRule>
    <cfRule type="expression" dxfId="177" priority="57">
      <formula>$E258=18</formula>
    </cfRule>
    <cfRule type="expression" dxfId="176" priority="58">
      <formula>$E258=17</formula>
    </cfRule>
    <cfRule type="expression" dxfId="175" priority="59">
      <formula>$E258=16</formula>
    </cfRule>
    <cfRule type="expression" dxfId="174" priority="60">
      <formula>$E258=15</formula>
    </cfRule>
    <cfRule type="expression" dxfId="173" priority="61">
      <formula>$E258=14</formula>
    </cfRule>
    <cfRule type="expression" dxfId="172" priority="62">
      <formula>$E258=13</formula>
    </cfRule>
    <cfRule type="expression" dxfId="171" priority="63">
      <formula>$E258=12</formula>
    </cfRule>
  </conditionalFormatting>
  <conditionalFormatting sqref="A264:B264 J264 N264:AH264 L264 H264 AK264:XFD264">
    <cfRule type="expression" dxfId="170" priority="46">
      <formula>$E264=10</formula>
    </cfRule>
    <cfRule type="expression" dxfId="169" priority="47">
      <formula>$E264=11</formula>
    </cfRule>
    <cfRule type="expression" dxfId="168" priority="48">
      <formula>$E264=18</formula>
    </cfRule>
    <cfRule type="expression" dxfId="167" priority="49">
      <formula>$E264=17</formula>
    </cfRule>
    <cfRule type="expression" dxfId="166" priority="50">
      <formula>$E264=16</formula>
    </cfRule>
    <cfRule type="expression" dxfId="165" priority="51">
      <formula>$E264=15</formula>
    </cfRule>
    <cfRule type="expression" dxfId="164" priority="52">
      <formula>$E264=14</formula>
    </cfRule>
    <cfRule type="expression" dxfId="163" priority="53">
      <formula>$E264=13</formula>
    </cfRule>
    <cfRule type="expression" dxfId="162" priority="54">
      <formula>$E264=12</formula>
    </cfRule>
  </conditionalFormatting>
  <conditionalFormatting sqref="M264">
    <cfRule type="expression" dxfId="161" priority="37">
      <formula>$E264=10</formula>
    </cfRule>
    <cfRule type="expression" dxfId="160" priority="38">
      <formula>$E264=11</formula>
    </cfRule>
    <cfRule type="expression" dxfId="159" priority="39">
      <formula>$E264=18</formula>
    </cfRule>
    <cfRule type="expression" dxfId="158" priority="40">
      <formula>$E264=17</formula>
    </cfRule>
    <cfRule type="expression" dxfId="157" priority="41">
      <formula>$E264=16</formula>
    </cfRule>
    <cfRule type="expression" dxfId="156" priority="42">
      <formula>$E264=15</formula>
    </cfRule>
    <cfRule type="expression" dxfId="155" priority="43">
      <formula>$E264=14</formula>
    </cfRule>
    <cfRule type="expression" dxfId="154" priority="44">
      <formula>$E264=13</formula>
    </cfRule>
    <cfRule type="expression" dxfId="153" priority="45">
      <formula>$E264=12</formula>
    </cfRule>
  </conditionalFormatting>
  <conditionalFormatting sqref="K264">
    <cfRule type="expression" dxfId="152" priority="28">
      <formula>$E264=10</formula>
    </cfRule>
    <cfRule type="expression" dxfId="151" priority="29">
      <formula>$E264=11</formula>
    </cfRule>
    <cfRule type="expression" dxfId="150" priority="30">
      <formula>$E264=18</formula>
    </cfRule>
    <cfRule type="expression" dxfId="149" priority="31">
      <formula>$E264=17</formula>
    </cfRule>
    <cfRule type="expression" dxfId="148" priority="32">
      <formula>$E264=16</formula>
    </cfRule>
    <cfRule type="expression" dxfId="147" priority="33">
      <formula>$E264=15</formula>
    </cfRule>
    <cfRule type="expression" dxfId="146" priority="34">
      <formula>$E264=14</formula>
    </cfRule>
    <cfRule type="expression" dxfId="145" priority="35">
      <formula>$E264=13</formula>
    </cfRule>
    <cfRule type="expression" dxfId="144" priority="36">
      <formula>$E264=12</formula>
    </cfRule>
  </conditionalFormatting>
  <conditionalFormatting sqref="G264">
    <cfRule type="expression" dxfId="143" priority="19">
      <formula>$E264=10</formula>
    </cfRule>
    <cfRule type="expression" dxfId="142" priority="20">
      <formula>$E264=11</formula>
    </cfRule>
    <cfRule type="expression" dxfId="141" priority="21">
      <formula>$E264=18</formula>
    </cfRule>
    <cfRule type="expression" dxfId="140" priority="22">
      <formula>$E264=17</formula>
    </cfRule>
    <cfRule type="expression" dxfId="139" priority="23">
      <formula>$E264=16</formula>
    </cfRule>
    <cfRule type="expression" dxfId="138" priority="24">
      <formula>$E264=15</formula>
    </cfRule>
    <cfRule type="expression" dxfId="137" priority="25">
      <formula>$E264=14</formula>
    </cfRule>
    <cfRule type="expression" dxfId="136" priority="26">
      <formula>$E264=13</formula>
    </cfRule>
    <cfRule type="expression" dxfId="135" priority="27">
      <formula>$E264=12</formula>
    </cfRule>
  </conditionalFormatting>
  <conditionalFormatting sqref="C264:F264">
    <cfRule type="expression" dxfId="134" priority="10">
      <formula>$E264=10</formula>
    </cfRule>
    <cfRule type="expression" dxfId="133" priority="11">
      <formula>$E264=11</formula>
    </cfRule>
    <cfRule type="expression" dxfId="132" priority="12">
      <formula>$E264=18</formula>
    </cfRule>
    <cfRule type="expression" dxfId="131" priority="13">
      <formula>$E264=17</formula>
    </cfRule>
    <cfRule type="expression" dxfId="130" priority="14">
      <formula>$E264=16</formula>
    </cfRule>
    <cfRule type="expression" dxfId="129" priority="15">
      <formula>$E264=15</formula>
    </cfRule>
    <cfRule type="expression" dxfId="128" priority="16">
      <formula>$E264=14</formula>
    </cfRule>
    <cfRule type="expression" dxfId="127" priority="17">
      <formula>$E264=13</formula>
    </cfRule>
    <cfRule type="expression" dxfId="126" priority="18">
      <formula>$E264=12</formula>
    </cfRule>
  </conditionalFormatting>
  <conditionalFormatting sqref="K2:K427">
    <cfRule type="expression" dxfId="125" priority="1">
      <formula>$E2=10</formula>
    </cfRule>
    <cfRule type="expression" dxfId="124" priority="2">
      <formula>$E2=11</formula>
    </cfRule>
    <cfRule type="expression" dxfId="123" priority="3">
      <formula>$E2=18</formula>
    </cfRule>
    <cfRule type="expression" dxfId="122" priority="4">
      <formula>$E2=17</formula>
    </cfRule>
    <cfRule type="expression" dxfId="121" priority="5">
      <formula>$E2=16</formula>
    </cfRule>
    <cfRule type="expression" dxfId="120" priority="6">
      <formula>$E2=15</formula>
    </cfRule>
    <cfRule type="expression" dxfId="119" priority="7">
      <formula>$E2=14</formula>
    </cfRule>
    <cfRule type="expression" dxfId="118" priority="8">
      <formula>$E2=13</formula>
    </cfRule>
    <cfRule type="expression" dxfId="117" priority="9">
      <formula>$E2=12</formula>
    </cfRule>
  </conditionalFormatting>
  <hyperlinks>
    <hyperlink ref="I152" r:id="rId1" display="https://aes1.advancedeventsystems.com/Event/Volleyball/EventTeamInfo.aspx?ZCruShzPjMGv6cuivzEZ3bdHnxan7utPe-38b2URl8mzU62jttSjG3kENzzLrFO5DJ2gC4tYCpITNOPe7kWQLp22OSbVlCGBuLUYcUJcvMs1mfXaIumiL4opmJlO0to2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J269"/>
  <sheetViews>
    <sheetView topLeftCell="C1" workbookViewId="0">
      <selection activeCell="C1" sqref="A1:XFD1048576"/>
    </sheetView>
  </sheetViews>
  <sheetFormatPr defaultRowHeight="15"/>
  <cols>
    <col min="1" max="1" width="7.140625" style="472" bestFit="1" customWidth="1"/>
    <col min="2" max="2" width="2.42578125" style="472" hidden="1" customWidth="1"/>
    <col min="3" max="3" width="3" style="472" bestFit="1" customWidth="1"/>
    <col min="4" max="4" width="5.28515625" style="472" bestFit="1" customWidth="1"/>
    <col min="5" max="5" width="4.42578125" style="472" bestFit="1" customWidth="1"/>
    <col min="6" max="6" width="7.140625" style="472" bestFit="1" customWidth="1"/>
    <col min="7" max="7" width="13.85546875" style="472" bestFit="1" customWidth="1"/>
    <col min="8" max="8" width="36.85546875" style="472" bestFit="1" customWidth="1"/>
    <col min="9" max="9" width="28.42578125" style="472" bestFit="1" customWidth="1"/>
    <col min="10" max="10" width="5.7109375" style="472" bestFit="1" customWidth="1"/>
    <col min="11" max="11" width="13.85546875" style="473" bestFit="1" customWidth="1"/>
    <col min="12" max="12" width="5" style="472" customWidth="1"/>
    <col min="13" max="13" width="10" style="473" bestFit="1" customWidth="1"/>
    <col min="14" max="14" width="12" style="472" bestFit="1" customWidth="1"/>
    <col min="15" max="15" width="6.7109375" style="472" bestFit="1" customWidth="1"/>
    <col min="16" max="16" width="6.7109375" style="472" customWidth="1"/>
    <col min="17" max="19" width="7.7109375" style="472" bestFit="1" customWidth="1"/>
    <col min="20" max="20" width="6.7109375" style="472" bestFit="1" customWidth="1"/>
    <col min="21" max="23" width="7.7109375" style="472" bestFit="1" customWidth="1"/>
    <col min="24" max="24" width="6.7109375" style="472" bestFit="1" customWidth="1"/>
    <col min="25" max="27" width="7.7109375" style="472" bestFit="1" customWidth="1"/>
    <col min="28" max="28" width="6.7109375" style="472" bestFit="1" customWidth="1"/>
    <col min="29" max="34" width="9.140625" style="472"/>
    <col min="35" max="36" width="12" style="475" bestFit="1" customWidth="1"/>
    <col min="37" max="16384" width="9.140625" style="472"/>
  </cols>
  <sheetData>
    <row r="1" spans="1:28" ht="26.25">
      <c r="A1" s="471" t="s">
        <v>308</v>
      </c>
      <c r="C1" s="472" t="s">
        <v>309</v>
      </c>
      <c r="D1" s="472" t="s">
        <v>310</v>
      </c>
      <c r="E1" s="472" t="s">
        <v>9</v>
      </c>
      <c r="F1" s="472" t="s">
        <v>311</v>
      </c>
      <c r="G1" s="472" t="s">
        <v>312</v>
      </c>
      <c r="H1" s="472" t="s">
        <v>313</v>
      </c>
      <c r="I1" s="472" t="s">
        <v>5</v>
      </c>
      <c r="J1" s="472" t="s">
        <v>314</v>
      </c>
      <c r="K1" s="473" t="s">
        <v>315</v>
      </c>
      <c r="M1" s="473" t="s">
        <v>225</v>
      </c>
      <c r="N1" s="474" t="s">
        <v>316</v>
      </c>
      <c r="O1" s="474" t="s">
        <v>317</v>
      </c>
      <c r="P1" s="474" t="s">
        <v>317</v>
      </c>
      <c r="Q1" s="474" t="s">
        <v>318</v>
      </c>
      <c r="R1" s="474" t="s">
        <v>319</v>
      </c>
      <c r="S1" s="474" t="s">
        <v>320</v>
      </c>
      <c r="T1" s="474" t="s">
        <v>321</v>
      </c>
      <c r="U1" s="474" t="s">
        <v>322</v>
      </c>
      <c r="V1" s="474" t="s">
        <v>323</v>
      </c>
      <c r="W1" s="474" t="s">
        <v>324</v>
      </c>
      <c r="X1" s="474" t="s">
        <v>325</v>
      </c>
      <c r="Y1" s="474" t="s">
        <v>326</v>
      </c>
      <c r="Z1" s="474" t="s">
        <v>327</v>
      </c>
      <c r="AA1" s="474" t="s">
        <v>328</v>
      </c>
      <c r="AB1" s="474" t="s">
        <v>329</v>
      </c>
    </row>
    <row r="2" spans="1:28">
      <c r="A2" s="472">
        <v>3</v>
      </c>
      <c r="C2" s="472">
        <f>IF(E2=E1,C1+1,1)</f>
        <v>1</v>
      </c>
      <c r="D2" s="472">
        <f>IF(K2=K1,D1,C2)</f>
        <v>1</v>
      </c>
      <c r="E2" s="472">
        <f>10+VALUE(RIGHT(LEFT(G2,3),1))</f>
        <v>11</v>
      </c>
      <c r="F2" s="472" t="str">
        <f>RIGHT(G2,2) &amp; IF(A2&lt;2,"x","")</f>
        <v>pm</v>
      </c>
      <c r="G2" s="472" t="s">
        <v>330</v>
      </c>
      <c r="H2" s="472" t="s">
        <v>331</v>
      </c>
      <c r="I2" s="472" t="s">
        <v>332</v>
      </c>
      <c r="K2" s="473">
        <f>LOOKUP(1E+100,M2:AC2)</f>
        <v>1400</v>
      </c>
      <c r="M2" s="473">
        <v>1400</v>
      </c>
    </row>
    <row r="3" spans="1:28">
      <c r="A3" s="472">
        <v>4</v>
      </c>
      <c r="C3" s="472">
        <f>IF(E3=E2,C2+1,1)</f>
        <v>2</v>
      </c>
      <c r="D3" s="472">
        <f>IF(K3=K2,D2,C3)</f>
        <v>2</v>
      </c>
      <c r="E3" s="472">
        <f>10+VALUE(RIGHT(LEFT(G3,3),1))</f>
        <v>11</v>
      </c>
      <c r="F3" s="472" t="str">
        <f>RIGHT(G3,2) &amp; IF(A3&lt;2,"x","")</f>
        <v>pm</v>
      </c>
      <c r="G3" s="472" t="s">
        <v>95</v>
      </c>
      <c r="H3" s="472" t="s">
        <v>86</v>
      </c>
      <c r="I3" s="472" t="s">
        <v>88</v>
      </c>
      <c r="K3" s="473">
        <f>LOOKUP(1E+100,M3:AC3)</f>
        <v>1267.295655925891</v>
      </c>
      <c r="M3" s="473">
        <v>1200</v>
      </c>
      <c r="P3" s="472">
        <v>1267.295655925891</v>
      </c>
    </row>
    <row r="4" spans="1:28">
      <c r="A4" s="472">
        <v>3</v>
      </c>
      <c r="C4" s="472">
        <f>IF(E4=E3,C3+1,1)</f>
        <v>3</v>
      </c>
      <c r="D4" s="472">
        <f>IF(K4=K3,D3,C4)</f>
        <v>3</v>
      </c>
      <c r="E4" s="472">
        <f>10+VALUE(RIGHT(LEFT(G4,3),1))</f>
        <v>11</v>
      </c>
      <c r="F4" s="472" t="str">
        <f>RIGHT(G4,2) &amp; IF(A4&lt;2,"x","")</f>
        <v>pm</v>
      </c>
      <c r="G4" s="472" t="s">
        <v>171</v>
      </c>
      <c r="H4" s="472" t="s">
        <v>154</v>
      </c>
      <c r="I4" s="472" t="s">
        <v>170</v>
      </c>
      <c r="K4" s="473">
        <f>LOOKUP(1E+100,M4:AC4)</f>
        <v>1237.0786754291955</v>
      </c>
      <c r="M4" s="473">
        <v>1266.6666666666667</v>
      </c>
      <c r="P4" s="472">
        <v>1237.0786754291955</v>
      </c>
    </row>
    <row r="5" spans="1:28">
      <c r="A5" s="472">
        <v>4</v>
      </c>
      <c r="C5" s="472">
        <f>IF(E5=E4,C4+1,1)</f>
        <v>4</v>
      </c>
      <c r="D5" s="472">
        <f>IF(K5=K4,D4,C5)</f>
        <v>4</v>
      </c>
      <c r="E5" s="472">
        <f>10+VALUE(RIGHT(LEFT(G5,3),1))</f>
        <v>11</v>
      </c>
      <c r="F5" s="472" t="str">
        <f>RIGHT(G5,2) &amp; IF(A5&lt;2,"x","")</f>
        <v>pm</v>
      </c>
      <c r="G5" s="472" t="s">
        <v>336</v>
      </c>
      <c r="H5" s="472" t="s">
        <v>337</v>
      </c>
      <c r="I5" s="472" t="s">
        <v>338</v>
      </c>
      <c r="K5" s="473">
        <f>LOOKUP(1E+100,M5:AC5)</f>
        <v>1232.8966626415247</v>
      </c>
      <c r="M5" s="473">
        <v>1300</v>
      </c>
      <c r="O5" s="472">
        <v>1232.8966626415247</v>
      </c>
    </row>
    <row r="6" spans="1:28">
      <c r="A6" s="472">
        <v>4</v>
      </c>
      <c r="C6" s="472">
        <f>IF(E6=E5,C5+1,1)</f>
        <v>5</v>
      </c>
      <c r="D6" s="472">
        <f>IF(K6=K5,D5,C6)</f>
        <v>5</v>
      </c>
      <c r="E6" s="472">
        <f>10+VALUE(RIGHT(LEFT(G6,3),1))</f>
        <v>11</v>
      </c>
      <c r="F6" s="472" t="str">
        <f>RIGHT(G6,2) &amp; IF(A6&lt;2,"x","")</f>
        <v>pm</v>
      </c>
      <c r="G6" s="472" t="s">
        <v>94</v>
      </c>
      <c r="H6" s="472" t="s">
        <v>86</v>
      </c>
      <c r="I6" s="472" t="s">
        <v>131</v>
      </c>
      <c r="K6" s="473">
        <f>LOOKUP(1E+100,M6:AC6)</f>
        <v>1207.4161667092396</v>
      </c>
      <c r="M6" s="473">
        <v>1200</v>
      </c>
      <c r="P6" s="472">
        <v>1207.4161667092396</v>
      </c>
    </row>
    <row r="7" spans="1:28">
      <c r="A7" s="472">
        <v>4</v>
      </c>
      <c r="C7" s="472">
        <f>IF(E7=E6,C6+1,1)</f>
        <v>6</v>
      </c>
      <c r="D7" s="472">
        <f>IF(K7=K6,D6,C7)</f>
        <v>6</v>
      </c>
      <c r="E7" s="472">
        <f>10+VALUE(RIGHT(LEFT(G7,3),1))</f>
        <v>11</v>
      </c>
      <c r="F7" s="472" t="str">
        <f>RIGHT(G7,2) &amp; IF(A7&lt;2,"x","")</f>
        <v>pm</v>
      </c>
      <c r="G7" s="472" t="s">
        <v>174</v>
      </c>
      <c r="H7" s="472" t="s">
        <v>86</v>
      </c>
      <c r="I7" s="472" t="s">
        <v>173</v>
      </c>
      <c r="K7" s="473">
        <f>LOOKUP(1E+100,M7:AC7)</f>
        <v>1202.6504789498138</v>
      </c>
      <c r="M7" s="473">
        <v>1200</v>
      </c>
      <c r="P7" s="472">
        <v>1202.6504789498138</v>
      </c>
    </row>
    <row r="8" spans="1:28">
      <c r="A8" s="472">
        <v>3</v>
      </c>
      <c r="C8" s="472">
        <f>IF(E8=E7,C7+1,1)</f>
        <v>1</v>
      </c>
      <c r="D8" s="472">
        <f>IF(K8=K7,D7,C8)</f>
        <v>1</v>
      </c>
      <c r="E8" s="472">
        <f>10+VALUE(RIGHT(LEFT(G8,3),1))</f>
        <v>12</v>
      </c>
      <c r="F8" s="472" t="str">
        <f>RIGHT(G8,2) &amp; IF(A8&lt;2,"x","")</f>
        <v>pm</v>
      </c>
      <c r="G8" s="472" t="s">
        <v>355</v>
      </c>
      <c r="H8" s="472" t="s">
        <v>331</v>
      </c>
      <c r="I8" s="472" t="s">
        <v>356</v>
      </c>
      <c r="K8" s="473">
        <f>LOOKUP(1E+100,M8:AC8)</f>
        <v>1600</v>
      </c>
      <c r="M8" s="473">
        <v>1600</v>
      </c>
    </row>
    <row r="9" spans="1:28">
      <c r="A9" s="472">
        <v>4</v>
      </c>
      <c r="C9" s="472">
        <f>IF(E9=E8,C8+1,1)</f>
        <v>2</v>
      </c>
      <c r="D9" s="472">
        <f>IF(K9=K8,D8,C9)</f>
        <v>1</v>
      </c>
      <c r="E9" s="472">
        <f>10+VALUE(RIGHT(LEFT(G9,3),1))</f>
        <v>12</v>
      </c>
      <c r="F9" s="472" t="str">
        <f>RIGHT(G9,2) &amp; IF(A9&lt;2,"x","")</f>
        <v>pm</v>
      </c>
      <c r="G9" s="472" t="s">
        <v>357</v>
      </c>
      <c r="H9" s="472" t="s">
        <v>92</v>
      </c>
      <c r="I9" s="472" t="s">
        <v>358</v>
      </c>
      <c r="K9" s="473">
        <f>LOOKUP(1E+100,M9:AC9)</f>
        <v>1600</v>
      </c>
      <c r="M9" s="473">
        <v>1600</v>
      </c>
    </row>
    <row r="10" spans="1:28">
      <c r="A10" s="472">
        <v>4</v>
      </c>
      <c r="C10" s="472">
        <f>IF(E10=E9,C9+1,1)</f>
        <v>3</v>
      </c>
      <c r="D10" s="472">
        <f>IF(K10=K9,D9,C10)</f>
        <v>3</v>
      </c>
      <c r="E10" s="472">
        <f>10+VALUE(RIGHT(LEFT(G10,3),1))</f>
        <v>12</v>
      </c>
      <c r="F10" s="472" t="str">
        <f>RIGHT(G10,2) &amp; IF(A10&lt;2,"x","")</f>
        <v>pm</v>
      </c>
      <c r="G10" s="472" t="s">
        <v>153</v>
      </c>
      <c r="H10" s="472" t="s">
        <v>154</v>
      </c>
      <c r="I10" s="472" t="s">
        <v>152</v>
      </c>
      <c r="K10" s="473">
        <f>LOOKUP(1E+100,M10:AC10)</f>
        <v>1557.5535974664533</v>
      </c>
      <c r="M10" s="473">
        <v>1500</v>
      </c>
      <c r="P10" s="472">
        <v>1557.5535974664533</v>
      </c>
    </row>
    <row r="11" spans="1:28">
      <c r="A11" s="472">
        <v>3</v>
      </c>
      <c r="C11" s="472">
        <f>IF(E11=E10,C10+1,1)</f>
        <v>4</v>
      </c>
      <c r="D11" s="472">
        <f>IF(K11=K10,D10,C11)</f>
        <v>4</v>
      </c>
      <c r="E11" s="472">
        <f>10+VALUE(RIGHT(LEFT(G11,3),1))</f>
        <v>12</v>
      </c>
      <c r="F11" s="472" t="str">
        <f>RIGHT(G11,2) &amp; IF(A11&lt;2,"x","")</f>
        <v>pm</v>
      </c>
      <c r="G11" s="472" t="s">
        <v>374</v>
      </c>
      <c r="H11" s="472" t="s">
        <v>331</v>
      </c>
      <c r="I11" s="472" t="s">
        <v>375</v>
      </c>
      <c r="K11" s="473">
        <f>LOOKUP(1E+100,M11:AC11)</f>
        <v>1510.1815945823957</v>
      </c>
      <c r="M11" s="473">
        <v>1400</v>
      </c>
      <c r="O11" s="472">
        <v>1510.1815945823957</v>
      </c>
    </row>
    <row r="12" spans="1:28">
      <c r="A12" s="472">
        <v>3</v>
      </c>
      <c r="C12" s="472">
        <f>IF(E12=E11,C11+1,1)</f>
        <v>5</v>
      </c>
      <c r="D12" s="472">
        <f>IF(K12=K11,D11,C12)</f>
        <v>5</v>
      </c>
      <c r="E12" s="472">
        <f>10+VALUE(RIGHT(LEFT(G12,3),1))</f>
        <v>12</v>
      </c>
      <c r="F12" s="472" t="str">
        <f>RIGHT(G12,2) &amp; IF(A12&lt;2,"x","")</f>
        <v>pm</v>
      </c>
      <c r="G12" s="472" t="s">
        <v>372</v>
      </c>
      <c r="H12" s="472" t="s">
        <v>331</v>
      </c>
      <c r="I12" s="472" t="s">
        <v>373</v>
      </c>
      <c r="K12" s="473">
        <f>LOOKUP(1E+100,M12:AC12)</f>
        <v>1483.5590753889226</v>
      </c>
      <c r="M12" s="473">
        <v>1400</v>
      </c>
      <c r="O12" s="472">
        <v>1483.5590753889226</v>
      </c>
    </row>
    <row r="13" spans="1:28">
      <c r="A13" s="472">
        <v>3</v>
      </c>
      <c r="C13" s="472">
        <f>IF(E13=E12,C12+1,1)</f>
        <v>6</v>
      </c>
      <c r="D13" s="472">
        <f>IF(K13=K12,D12,C13)</f>
        <v>6</v>
      </c>
      <c r="E13" s="472">
        <f>10+VALUE(RIGHT(LEFT(G13,3),1))</f>
        <v>12</v>
      </c>
      <c r="F13" s="472" t="str">
        <f>RIGHT(G13,2) &amp; IF(A13&lt;2,"x","")</f>
        <v>pm</v>
      </c>
      <c r="G13" s="472" t="s">
        <v>376</v>
      </c>
      <c r="H13" s="472" t="s">
        <v>331</v>
      </c>
      <c r="I13" s="472" t="s">
        <v>377</v>
      </c>
      <c r="K13" s="473">
        <f>LOOKUP(1E+100,M13:AC13)</f>
        <v>1470.9901180578565</v>
      </c>
      <c r="M13" s="473">
        <v>1400</v>
      </c>
      <c r="O13" s="472">
        <v>1470.9901180578565</v>
      </c>
    </row>
    <row r="14" spans="1:28">
      <c r="A14" s="472">
        <v>3</v>
      </c>
      <c r="C14" s="472">
        <f>IF(E14=E13,C13+1,1)</f>
        <v>7</v>
      </c>
      <c r="D14" s="472">
        <f>IF(K14=K13,D13,C14)</f>
        <v>7</v>
      </c>
      <c r="E14" s="472">
        <f>10+VALUE(RIGHT(LEFT(G14,3),1))</f>
        <v>12</v>
      </c>
      <c r="F14" s="472" t="str">
        <f>RIGHT(G14,2) &amp; IF(A14&lt;2,"x","")</f>
        <v>pm</v>
      </c>
      <c r="G14" s="472" t="s">
        <v>168</v>
      </c>
      <c r="H14" s="472" t="s">
        <v>154</v>
      </c>
      <c r="I14" s="472" t="s">
        <v>167</v>
      </c>
      <c r="K14" s="473">
        <f>LOOKUP(1E+100,M14:AC14)</f>
        <v>1445.6204424026257</v>
      </c>
      <c r="M14" s="473">
        <v>1400</v>
      </c>
      <c r="P14" s="472">
        <v>1445.6204424026257</v>
      </c>
    </row>
    <row r="15" spans="1:28">
      <c r="A15" s="472">
        <v>3</v>
      </c>
      <c r="C15" s="472">
        <f>IF(E15=E14,C14+1,1)</f>
        <v>8</v>
      </c>
      <c r="D15" s="472">
        <f>IF(K15=K14,D14,C15)</f>
        <v>8</v>
      </c>
      <c r="E15" s="472">
        <f>10+VALUE(RIGHT(LEFT(G15,3),1))</f>
        <v>12</v>
      </c>
      <c r="F15" s="472" t="str">
        <f>RIGHT(G15,2) &amp; IF(A15&lt;2,"x","")</f>
        <v>pm</v>
      </c>
      <c r="G15" s="472" t="s">
        <v>165</v>
      </c>
      <c r="H15" s="472" t="s">
        <v>154</v>
      </c>
      <c r="I15" s="472" t="s">
        <v>164</v>
      </c>
      <c r="K15" s="473">
        <f>LOOKUP(1E+100,M15:AC15)</f>
        <v>1428.9471659044832</v>
      </c>
      <c r="M15" s="473">
        <v>1400</v>
      </c>
      <c r="P15" s="472">
        <v>1428.9471659044832</v>
      </c>
    </row>
    <row r="16" spans="1:28">
      <c r="A16" s="472">
        <v>4</v>
      </c>
      <c r="C16" s="472">
        <f>IF(E16=E15,C15+1,1)</f>
        <v>9</v>
      </c>
      <c r="D16" s="472">
        <f>IF(K16=K15,D15,C16)</f>
        <v>9</v>
      </c>
      <c r="E16" s="472">
        <f>10+VALUE(RIGHT(LEFT(G16,3),1))</f>
        <v>12</v>
      </c>
      <c r="F16" s="472" t="str">
        <f>RIGHT(G16,2) &amp; IF(A16&lt;2,"x","")</f>
        <v>pm</v>
      </c>
      <c r="G16" s="472" t="s">
        <v>369</v>
      </c>
      <c r="H16" s="472" t="s">
        <v>370</v>
      </c>
      <c r="I16" s="472" t="s">
        <v>371</v>
      </c>
      <c r="K16" s="473">
        <f>LOOKUP(1E+100,M16:AC16)</f>
        <v>1427.73073891227</v>
      </c>
      <c r="M16" s="473">
        <v>1400</v>
      </c>
      <c r="O16" s="472">
        <v>1427.73073891227</v>
      </c>
    </row>
    <row r="17" spans="1:16">
      <c r="A17" s="472">
        <v>3</v>
      </c>
      <c r="C17" s="472">
        <f>IF(E17=E16,C16+1,1)</f>
        <v>10</v>
      </c>
      <c r="D17" s="472">
        <f>IF(K17=K16,D16,C17)</f>
        <v>10</v>
      </c>
      <c r="E17" s="472">
        <f>10+VALUE(RIGHT(LEFT(G17,3),1))</f>
        <v>12</v>
      </c>
      <c r="F17" s="472" t="str">
        <f>RIGHT(G17,2) &amp; IF(A17&lt;2,"x","")</f>
        <v>pm</v>
      </c>
      <c r="G17" s="472" t="s">
        <v>159</v>
      </c>
      <c r="H17" s="472" t="s">
        <v>154</v>
      </c>
      <c r="I17" s="472" t="s">
        <v>158</v>
      </c>
      <c r="K17" s="473">
        <f>LOOKUP(1E+100,M17:AC17)</f>
        <v>1408.526724404192</v>
      </c>
      <c r="M17" s="473">
        <v>1400</v>
      </c>
      <c r="P17" s="472">
        <v>1408.526724404192</v>
      </c>
    </row>
    <row r="18" spans="1:16">
      <c r="A18" s="472">
        <v>3</v>
      </c>
      <c r="C18" s="472">
        <f>IF(E18=E17,C17+1,1)</f>
        <v>11</v>
      </c>
      <c r="D18" s="472">
        <f>IF(K18=K17,D17,C18)</f>
        <v>11</v>
      </c>
      <c r="E18" s="472">
        <f>10+VALUE(RIGHT(LEFT(G18,3),1))</f>
        <v>12</v>
      </c>
      <c r="F18" s="472" t="str">
        <f>RIGHT(G18,2) &amp; IF(A18&lt;2,"x","")</f>
        <v>pm</v>
      </c>
      <c r="G18" s="472" t="s">
        <v>378</v>
      </c>
      <c r="H18" s="472" t="s">
        <v>331</v>
      </c>
      <c r="I18" s="472" t="s">
        <v>379</v>
      </c>
      <c r="K18" s="473">
        <f>LOOKUP(1E+100,M18:AC18)</f>
        <v>1400</v>
      </c>
      <c r="M18" s="473">
        <v>1400</v>
      </c>
    </row>
    <row r="19" spans="1:16">
      <c r="A19" s="472">
        <v>3</v>
      </c>
      <c r="C19" s="472">
        <f>IF(E19=E18,C18+1,1)</f>
        <v>12</v>
      </c>
      <c r="D19" s="472">
        <f>IF(K19=K18,D18,C19)</f>
        <v>11</v>
      </c>
      <c r="E19" s="472">
        <f>10+VALUE(RIGHT(LEFT(G19,3),1))</f>
        <v>12</v>
      </c>
      <c r="F19" s="472" t="str">
        <f>RIGHT(G19,2) &amp; IF(A19&lt;2,"x","")</f>
        <v>pm</v>
      </c>
      <c r="G19" s="472" t="s">
        <v>380</v>
      </c>
      <c r="H19" s="472" t="s">
        <v>331</v>
      </c>
      <c r="I19" s="472" t="s">
        <v>381</v>
      </c>
      <c r="K19" s="473">
        <f>LOOKUP(1E+100,M19:AC19)</f>
        <v>1400</v>
      </c>
      <c r="M19" s="473">
        <v>1400</v>
      </c>
    </row>
    <row r="20" spans="1:16">
      <c r="A20" s="472">
        <v>4</v>
      </c>
      <c r="C20" s="472">
        <f>IF(E20=E19,C19+1,1)</f>
        <v>13</v>
      </c>
      <c r="D20" s="472">
        <f>IF(K20=K19,D19,C20)</f>
        <v>11</v>
      </c>
      <c r="E20" s="472">
        <f>10+VALUE(RIGHT(LEFT(G20,3),1))</f>
        <v>12</v>
      </c>
      <c r="F20" s="472" t="str">
        <f>RIGHT(G20,2) &amp; IF(A20&lt;2,"x","")</f>
        <v>pm</v>
      </c>
      <c r="G20" s="472" t="s">
        <v>382</v>
      </c>
      <c r="H20" s="472" t="s">
        <v>383</v>
      </c>
      <c r="I20" s="472" t="s">
        <v>384</v>
      </c>
      <c r="K20" s="473">
        <f>LOOKUP(1E+100,M20:AC20)</f>
        <v>1400</v>
      </c>
      <c r="M20" s="473">
        <v>1400</v>
      </c>
    </row>
    <row r="21" spans="1:16">
      <c r="A21" s="472">
        <v>5</v>
      </c>
      <c r="C21" s="472">
        <f>IF(E21=E20,C20+1,1)</f>
        <v>14</v>
      </c>
      <c r="D21" s="472">
        <f>IF(K21=K20,D20,C21)</f>
        <v>11</v>
      </c>
      <c r="E21" s="472">
        <f>10+VALUE(RIGHT(LEFT(G21,3),1))</f>
        <v>12</v>
      </c>
      <c r="F21" s="472" t="str">
        <f>RIGHT(G21,2) &amp; IF(A21&lt;2,"x","")</f>
        <v>pm</v>
      </c>
      <c r="G21" s="472" t="s">
        <v>385</v>
      </c>
      <c r="H21" s="472" t="s">
        <v>386</v>
      </c>
      <c r="I21" s="472" t="s">
        <v>387</v>
      </c>
      <c r="K21" s="473">
        <f>LOOKUP(1E+100,M21:AC21)</f>
        <v>1400</v>
      </c>
      <c r="M21" s="473">
        <v>1400</v>
      </c>
    </row>
    <row r="22" spans="1:16">
      <c r="A22" s="472">
        <v>4</v>
      </c>
      <c r="C22" s="472">
        <f>IF(E22=E21,C21+1,1)</f>
        <v>15</v>
      </c>
      <c r="D22" s="472">
        <f>IF(K22=K21,D21,C22)</f>
        <v>11</v>
      </c>
      <c r="E22" s="472">
        <f>10+VALUE(RIGHT(LEFT(G22,3),1))</f>
        <v>12</v>
      </c>
      <c r="F22" s="472" t="str">
        <f>RIGHT(G22,2) &amp; IF(A22&lt;2,"x","")</f>
        <v>pm</v>
      </c>
      <c r="G22" s="472" t="s">
        <v>388</v>
      </c>
      <c r="H22" s="472" t="s">
        <v>301</v>
      </c>
      <c r="I22" s="472" t="s">
        <v>389</v>
      </c>
      <c r="K22" s="473">
        <f>LOOKUP(1E+100,M22:AC22)</f>
        <v>1400</v>
      </c>
      <c r="M22" s="473">
        <v>1400</v>
      </c>
    </row>
    <row r="23" spans="1:16">
      <c r="A23" s="472">
        <v>2</v>
      </c>
      <c r="C23" s="472">
        <f>IF(E23=E22,C22+1,1)</f>
        <v>16</v>
      </c>
      <c r="D23" s="472">
        <f>IF(K23=K22,D22,C23)</f>
        <v>11</v>
      </c>
      <c r="E23" s="472">
        <f>10+VALUE(RIGHT(LEFT(G23,3),1))</f>
        <v>12</v>
      </c>
      <c r="F23" s="472" t="str">
        <f>RIGHT(G23,2) &amp; IF(A23&lt;2,"x","")</f>
        <v>pm</v>
      </c>
      <c r="G23" s="472" t="s">
        <v>390</v>
      </c>
      <c r="H23" s="472" t="s">
        <v>391</v>
      </c>
      <c r="I23" s="472" t="s">
        <v>392</v>
      </c>
      <c r="K23" s="473">
        <f>LOOKUP(1E+100,M23:AC23)</f>
        <v>1400</v>
      </c>
      <c r="M23" s="473">
        <v>1400</v>
      </c>
    </row>
    <row r="24" spans="1:16">
      <c r="A24" s="472">
        <v>4</v>
      </c>
      <c r="C24" s="472">
        <f>IF(E24=E23,C23+1,1)</f>
        <v>17</v>
      </c>
      <c r="D24" s="472">
        <f>IF(K24=K23,D23,C24)</f>
        <v>11</v>
      </c>
      <c r="E24" s="472">
        <f>10+VALUE(RIGHT(LEFT(G24,3),1))</f>
        <v>12</v>
      </c>
      <c r="F24" s="472" t="str">
        <f>RIGHT(G24,2) &amp; IF(A24&lt;2,"x","")</f>
        <v>pm</v>
      </c>
      <c r="G24" s="472" t="s">
        <v>396</v>
      </c>
      <c r="H24" s="472" t="s">
        <v>397</v>
      </c>
      <c r="I24" s="472" t="s">
        <v>398</v>
      </c>
      <c r="K24" s="473">
        <f>LOOKUP(1E+100,M24:AC24)</f>
        <v>1400</v>
      </c>
      <c r="M24" s="473">
        <v>1400</v>
      </c>
    </row>
    <row r="25" spans="1:16">
      <c r="A25" s="472">
        <v>3</v>
      </c>
      <c r="C25" s="472">
        <f>IF(E25=E24,C24+1,1)</f>
        <v>18</v>
      </c>
      <c r="D25" s="472">
        <f>IF(K25=K24,D24,C25)</f>
        <v>11</v>
      </c>
      <c r="E25" s="472">
        <f>10+VALUE(RIGHT(LEFT(G25,3),1))</f>
        <v>12</v>
      </c>
      <c r="F25" s="472" t="str">
        <f>RIGHT(G25,2) &amp; IF(A25&lt;2,"x","")</f>
        <v>pm</v>
      </c>
      <c r="G25" s="472" t="s">
        <v>399</v>
      </c>
      <c r="H25" s="472" t="s">
        <v>397</v>
      </c>
      <c r="I25" s="472" t="s">
        <v>400</v>
      </c>
      <c r="K25" s="473">
        <f>LOOKUP(1E+100,M25:AC25)</f>
        <v>1400</v>
      </c>
      <c r="M25" s="473">
        <v>1400</v>
      </c>
    </row>
    <row r="26" spans="1:16">
      <c r="A26" s="472">
        <v>4</v>
      </c>
      <c r="C26" s="472">
        <f>IF(E26=E25,C25+1,1)</f>
        <v>19</v>
      </c>
      <c r="D26" s="472">
        <f>IF(K26=K25,D25,C26)</f>
        <v>11</v>
      </c>
      <c r="E26" s="472">
        <f>10+VALUE(RIGHT(LEFT(G26,3),1))</f>
        <v>12</v>
      </c>
      <c r="F26" s="472" t="str">
        <f>RIGHT(G26,2) &amp; IF(A26&lt;2,"x","")</f>
        <v>pm</v>
      </c>
      <c r="G26" s="472" t="s">
        <v>401</v>
      </c>
      <c r="H26" s="472" t="s">
        <v>402</v>
      </c>
      <c r="I26" s="472" t="s">
        <v>403</v>
      </c>
      <c r="K26" s="473">
        <f>LOOKUP(1E+100,M26:AC26)</f>
        <v>1400</v>
      </c>
      <c r="M26" s="473">
        <v>1400</v>
      </c>
    </row>
    <row r="27" spans="1:16">
      <c r="A27" s="472">
        <v>5</v>
      </c>
      <c r="C27" s="472">
        <f>IF(E27=E26,C26+1,1)</f>
        <v>20</v>
      </c>
      <c r="D27" s="472">
        <f>IF(K27=K26,D26,C27)</f>
        <v>11</v>
      </c>
      <c r="E27" s="472">
        <f>10+VALUE(RIGHT(LEFT(G27,3),1))</f>
        <v>12</v>
      </c>
      <c r="F27" s="472" t="str">
        <f>RIGHT(G27,2) &amp; IF(A27&lt;2,"x","")</f>
        <v>pm</v>
      </c>
      <c r="G27" s="472" t="s">
        <v>410</v>
      </c>
      <c r="H27" s="472" t="s">
        <v>411</v>
      </c>
      <c r="I27" s="472" t="s">
        <v>412</v>
      </c>
      <c r="K27" s="473">
        <f>LOOKUP(1E+100,M27:AC27)</f>
        <v>1400</v>
      </c>
      <c r="M27" s="473">
        <v>1400</v>
      </c>
    </row>
    <row r="28" spans="1:16">
      <c r="A28" s="472">
        <v>5</v>
      </c>
      <c r="C28" s="472">
        <f>IF(E28=E27,C27+1,1)</f>
        <v>21</v>
      </c>
      <c r="D28" s="472">
        <f>IF(K28=K27,D27,C28)</f>
        <v>11</v>
      </c>
      <c r="E28" s="472">
        <f>10+VALUE(RIGHT(LEFT(G28,3),1))</f>
        <v>12</v>
      </c>
      <c r="F28" s="472" t="str">
        <f>RIGHT(G28,2) &amp; IF(A28&lt;2,"x","")</f>
        <v>pm</v>
      </c>
      <c r="G28" s="472" t="s">
        <v>413</v>
      </c>
      <c r="H28" s="472" t="s">
        <v>86</v>
      </c>
      <c r="I28" s="472" t="s">
        <v>414</v>
      </c>
      <c r="K28" s="473">
        <f>LOOKUP(1E+100,M28:AC28)</f>
        <v>1400</v>
      </c>
      <c r="M28" s="473">
        <v>1400</v>
      </c>
    </row>
    <row r="29" spans="1:16">
      <c r="A29" s="472">
        <v>4</v>
      </c>
      <c r="C29" s="472">
        <f>IF(E29=E28,C28+1,1)</f>
        <v>22</v>
      </c>
      <c r="D29" s="472">
        <f>IF(K29=K28,D28,C29)</f>
        <v>11</v>
      </c>
      <c r="E29" s="472">
        <f>10+VALUE(RIGHT(LEFT(G29,3),1))</f>
        <v>12</v>
      </c>
      <c r="F29" s="472" t="str">
        <f>RIGHT(G29,2) &amp; IF(A29&lt;2,"x","")</f>
        <v>pm</v>
      </c>
      <c r="G29" s="472" t="s">
        <v>415</v>
      </c>
      <c r="H29" s="472" t="s">
        <v>416</v>
      </c>
      <c r="I29" s="472" t="s">
        <v>417</v>
      </c>
      <c r="K29" s="473">
        <f>LOOKUP(1E+100,M29:AC29)</f>
        <v>1400</v>
      </c>
      <c r="M29" s="473">
        <v>1400</v>
      </c>
    </row>
    <row r="30" spans="1:16">
      <c r="A30" s="472">
        <v>4</v>
      </c>
      <c r="C30" s="472">
        <f>IF(E30=E29,C29+1,1)</f>
        <v>23</v>
      </c>
      <c r="D30" s="472">
        <f>IF(K30=K29,D29,C30)</f>
        <v>11</v>
      </c>
      <c r="E30" s="472">
        <f>10+VALUE(RIGHT(LEFT(G30,3),1))</f>
        <v>12</v>
      </c>
      <c r="F30" s="472" t="str">
        <f>RIGHT(G30,2) &amp; IF(A30&lt;2,"x","")</f>
        <v>pm</v>
      </c>
      <c r="G30" s="472" t="s">
        <v>418</v>
      </c>
      <c r="H30" s="472" t="s">
        <v>416</v>
      </c>
      <c r="I30" s="472" t="s">
        <v>419</v>
      </c>
      <c r="K30" s="473">
        <f>LOOKUP(1E+100,M30:AC30)</f>
        <v>1400</v>
      </c>
      <c r="M30" s="473">
        <v>1400</v>
      </c>
    </row>
    <row r="31" spans="1:16">
      <c r="A31" s="472">
        <v>5</v>
      </c>
      <c r="C31" s="472">
        <f>IF(E31=E30,C30+1,1)</f>
        <v>24</v>
      </c>
      <c r="D31" s="472">
        <f>IF(K31=K30,D30,C31)</f>
        <v>24</v>
      </c>
      <c r="E31" s="472">
        <f>10+VALUE(RIGHT(LEFT(G31,3),1))</f>
        <v>12</v>
      </c>
      <c r="F31" s="472" t="str">
        <f>RIGHT(G31,2) &amp; IF(A31&lt;2,"x","")</f>
        <v>pm</v>
      </c>
      <c r="G31" s="472" t="s">
        <v>361</v>
      </c>
      <c r="H31" s="472" t="s">
        <v>123</v>
      </c>
      <c r="I31" s="472" t="s">
        <v>362</v>
      </c>
      <c r="K31" s="473">
        <f>LOOKUP(1E+100,M31:AC31)</f>
        <v>1371.8915715290443</v>
      </c>
      <c r="M31" s="473">
        <v>1400</v>
      </c>
      <c r="O31" s="472">
        <v>1371.8915715290443</v>
      </c>
    </row>
    <row r="32" spans="1:16">
      <c r="A32" s="472">
        <v>6</v>
      </c>
      <c r="C32" s="472">
        <f>IF(E32=E31,C31+1,1)</f>
        <v>25</v>
      </c>
      <c r="D32" s="472">
        <f>IF(K32=K31,D31,C32)</f>
        <v>25</v>
      </c>
      <c r="E32" s="472">
        <f>10+VALUE(RIGHT(LEFT(G32,3),1))</f>
        <v>12</v>
      </c>
      <c r="F32" s="472" t="str">
        <f>RIGHT(G32,2) &amp; IF(A32&lt;2,"x","")</f>
        <v>pm</v>
      </c>
      <c r="G32" s="472" t="s">
        <v>420</v>
      </c>
      <c r="H32" s="472" t="s">
        <v>421</v>
      </c>
      <c r="I32" s="472" t="s">
        <v>422</v>
      </c>
      <c r="K32" s="473">
        <f>LOOKUP(1E+100,M32:AC32)</f>
        <v>1370.2953467160532</v>
      </c>
      <c r="M32" s="473">
        <v>1366.6666666666667</v>
      </c>
      <c r="O32" s="472">
        <v>1370.2953467160532</v>
      </c>
    </row>
    <row r="33" spans="1:16">
      <c r="A33" s="472">
        <v>3</v>
      </c>
      <c r="C33" s="472">
        <f>IF(E33=E32,C32+1,1)</f>
        <v>26</v>
      </c>
      <c r="D33" s="472">
        <f>IF(K33=K32,D32,C33)</f>
        <v>26</v>
      </c>
      <c r="E33" s="472">
        <f>10+VALUE(RIGHT(LEFT(G33,3),1))</f>
        <v>12</v>
      </c>
      <c r="F33" s="472" t="str">
        <f>RIGHT(G33,2) &amp; IF(A33&lt;2,"x","")</f>
        <v>pm</v>
      </c>
      <c r="G33" s="472" t="s">
        <v>162</v>
      </c>
      <c r="H33" s="472" t="s">
        <v>154</v>
      </c>
      <c r="I33" s="472" t="s">
        <v>161</v>
      </c>
      <c r="K33" s="473">
        <f>LOOKUP(1E+100,M33:AC33)</f>
        <v>1327.9539694536377</v>
      </c>
      <c r="M33" s="473">
        <v>1400</v>
      </c>
      <c r="P33" s="472">
        <v>1327.9539694536377</v>
      </c>
    </row>
    <row r="34" spans="1:16">
      <c r="A34" s="472">
        <v>5</v>
      </c>
      <c r="C34" s="472">
        <f>IF(E34=E33,C33+1,1)</f>
        <v>27</v>
      </c>
      <c r="D34" s="472">
        <f>IF(K34=K33,D33,C34)</f>
        <v>27</v>
      </c>
      <c r="E34" s="472">
        <f>10+VALUE(RIGHT(LEFT(G34,3),1))</f>
        <v>12</v>
      </c>
      <c r="F34" s="472" t="str">
        <f>RIGHT(G34,2) &amp; IF(A34&lt;2,"x","")</f>
        <v>pm</v>
      </c>
      <c r="G34" s="472" t="s">
        <v>407</v>
      </c>
      <c r="H34" s="472" t="s">
        <v>408</v>
      </c>
      <c r="I34" s="472" t="s">
        <v>409</v>
      </c>
      <c r="K34" s="473">
        <f>LOOKUP(1E+100,M34:AC34)</f>
        <v>1318.321316052037</v>
      </c>
      <c r="M34" s="473">
        <v>1400</v>
      </c>
      <c r="O34" s="472">
        <v>1318.321316052037</v>
      </c>
    </row>
    <row r="35" spans="1:16">
      <c r="A35" s="472">
        <v>6</v>
      </c>
      <c r="C35" s="472">
        <f>IF(E35=E34,C34+1,1)</f>
        <v>28</v>
      </c>
      <c r="D35" s="472">
        <f>IF(K35=K34,D34,C35)</f>
        <v>28</v>
      </c>
      <c r="E35" s="472">
        <f>10+VALUE(RIGHT(LEFT(G35,3),1))</f>
        <v>12</v>
      </c>
      <c r="F35" s="472" t="str">
        <f>RIGHT(G35,2) &amp; IF(A35&lt;2,"x","")</f>
        <v>pm</v>
      </c>
      <c r="G35" s="472" t="s">
        <v>393</v>
      </c>
      <c r="H35" s="472" t="s">
        <v>394</v>
      </c>
      <c r="I35" s="472" t="s">
        <v>395</v>
      </c>
      <c r="K35" s="473">
        <f>LOOKUP(1E+100,M35:AC35)</f>
        <v>1302.9386629423161</v>
      </c>
      <c r="M35" s="473">
        <v>1400</v>
      </c>
      <c r="O35" s="472">
        <v>1302.9386629423161</v>
      </c>
    </row>
    <row r="36" spans="1:16">
      <c r="A36" s="472">
        <v>4</v>
      </c>
      <c r="C36" s="472">
        <f>IF(E36=E35,C35+1,1)</f>
        <v>29</v>
      </c>
      <c r="D36" s="472">
        <f>IF(K36=K35,D35,C36)</f>
        <v>29</v>
      </c>
      <c r="E36" s="472">
        <f>10+VALUE(RIGHT(LEFT(G36,3),1))</f>
        <v>12</v>
      </c>
      <c r="F36" s="472" t="str">
        <f>RIGHT(G36,2) &amp; IF(A36&lt;2,"x","")</f>
        <v>pm</v>
      </c>
      <c r="G36" s="472" t="s">
        <v>135</v>
      </c>
      <c r="H36" s="472" t="s">
        <v>86</v>
      </c>
      <c r="I36" s="472" t="s">
        <v>134</v>
      </c>
      <c r="K36" s="473">
        <f>LOOKUP(1E+100,M36:AC36)</f>
        <v>1264.5083262633123</v>
      </c>
      <c r="M36" s="473">
        <v>1200</v>
      </c>
      <c r="P36" s="472">
        <v>1264.5083262633123</v>
      </c>
    </row>
    <row r="37" spans="1:16">
      <c r="A37" s="472">
        <v>3</v>
      </c>
      <c r="C37" s="472">
        <f>IF(E37=E36,C36+1,1)</f>
        <v>30</v>
      </c>
      <c r="D37" s="472">
        <f>IF(K37=K36,D36,C37)</f>
        <v>30</v>
      </c>
      <c r="E37" s="472">
        <f>10+VALUE(RIGHT(LEFT(G37,3),1))</f>
        <v>12</v>
      </c>
      <c r="F37" s="472" t="str">
        <f>RIGHT(G37,2) &amp; IF(A37&lt;2,"x","")</f>
        <v>pm</v>
      </c>
      <c r="G37" s="472" t="s">
        <v>96</v>
      </c>
      <c r="H37" s="472" t="s">
        <v>92</v>
      </c>
      <c r="I37" s="472" t="s">
        <v>146</v>
      </c>
      <c r="K37" s="473">
        <f>LOOKUP(1E+100,M37:AC37)</f>
        <v>1233.4527459403562</v>
      </c>
      <c r="M37" s="473">
        <v>1200</v>
      </c>
      <c r="P37" s="472">
        <v>1233.4527459403562</v>
      </c>
    </row>
    <row r="38" spans="1:16">
      <c r="A38" s="472">
        <v>3</v>
      </c>
      <c r="C38" s="472">
        <f>IF(E38=E37,C37+1,1)</f>
        <v>31</v>
      </c>
      <c r="D38" s="472">
        <f>IF(K38=K37,D37,C38)</f>
        <v>31</v>
      </c>
      <c r="E38" s="472">
        <f>10+VALUE(RIGHT(LEFT(G38,3),1))</f>
        <v>12</v>
      </c>
      <c r="F38" s="472" t="str">
        <f>RIGHT(G38,2) &amp; IF(A38&lt;2,"x","")</f>
        <v>pm</v>
      </c>
      <c r="G38" s="472" t="s">
        <v>423</v>
      </c>
      <c r="H38" s="472" t="s">
        <v>331</v>
      </c>
      <c r="I38" s="472" t="s">
        <v>424</v>
      </c>
      <c r="K38" s="473">
        <f>LOOKUP(1E+100,M38:AC38)</f>
        <v>1200</v>
      </c>
      <c r="M38" s="473">
        <v>1200</v>
      </c>
    </row>
    <row r="39" spans="1:16">
      <c r="A39" s="472">
        <v>3</v>
      </c>
      <c r="C39" s="472">
        <f>IF(E39=E38,C38+1,1)</f>
        <v>32</v>
      </c>
      <c r="D39" s="472">
        <f>IF(K39=K38,D38,C39)</f>
        <v>31</v>
      </c>
      <c r="E39" s="472">
        <f>10+VALUE(RIGHT(LEFT(G39,3),1))</f>
        <v>12</v>
      </c>
      <c r="F39" s="472" t="str">
        <f>RIGHT(G39,2) &amp; IF(A39&lt;2,"x","")</f>
        <v>pm</v>
      </c>
      <c r="G39" s="472" t="s">
        <v>425</v>
      </c>
      <c r="H39" s="472" t="s">
        <v>331</v>
      </c>
      <c r="I39" s="472" t="s">
        <v>426</v>
      </c>
      <c r="K39" s="473">
        <f>LOOKUP(1E+100,M39:AC39)</f>
        <v>1200</v>
      </c>
      <c r="M39" s="473">
        <v>1200</v>
      </c>
    </row>
    <row r="40" spans="1:16">
      <c r="A40" s="472">
        <v>2</v>
      </c>
      <c r="C40" s="472">
        <f>IF(E40=E39,C39+1,1)</f>
        <v>33</v>
      </c>
      <c r="D40" s="472">
        <f>IF(K40=K39,D39,C40)</f>
        <v>31</v>
      </c>
      <c r="E40" s="472">
        <f>10+VALUE(RIGHT(LEFT(G40,3),1))</f>
        <v>12</v>
      </c>
      <c r="F40" s="472" t="str">
        <f>RIGHT(G40,2) &amp; IF(A40&lt;2,"x","")</f>
        <v>pm</v>
      </c>
      <c r="G40" s="472" t="s">
        <v>427</v>
      </c>
      <c r="H40" s="472" t="s">
        <v>397</v>
      </c>
      <c r="I40" s="472" t="s">
        <v>428</v>
      </c>
      <c r="K40" s="473">
        <f>LOOKUP(1E+100,M40:AC40)</f>
        <v>1200</v>
      </c>
      <c r="M40" s="473">
        <v>1200</v>
      </c>
    </row>
    <row r="41" spans="1:16">
      <c r="A41" s="472">
        <v>2</v>
      </c>
      <c r="C41" s="472">
        <f>IF(E41=E40,C40+1,1)</f>
        <v>34</v>
      </c>
      <c r="D41" s="472">
        <f>IF(K41=K40,D40,C41)</f>
        <v>34</v>
      </c>
      <c r="E41" s="472">
        <f>10+VALUE(RIGHT(LEFT(G41,3),1))</f>
        <v>12</v>
      </c>
      <c r="F41" s="472" t="str">
        <f>RIGHT(G41,2) &amp; IF(A41&lt;2,"x","")</f>
        <v>pm</v>
      </c>
      <c r="G41" s="472" t="s">
        <v>149</v>
      </c>
      <c r="H41" s="472" t="s">
        <v>92</v>
      </c>
      <c r="I41" s="472" t="s">
        <v>148</v>
      </c>
      <c r="K41" s="473">
        <f>LOOKUP(1E+100,M41:AC41)</f>
        <v>1197.8219776000703</v>
      </c>
      <c r="M41" s="473">
        <v>1200</v>
      </c>
      <c r="P41" s="472">
        <v>1197.8219776000703</v>
      </c>
    </row>
    <row r="42" spans="1:16">
      <c r="A42" s="472">
        <v>4</v>
      </c>
      <c r="C42" s="472">
        <f>IF(E42=E41,C41+1,1)</f>
        <v>35</v>
      </c>
      <c r="D42" s="472">
        <f>IF(K42=K41,D41,C42)</f>
        <v>35</v>
      </c>
      <c r="E42" s="472">
        <f>10+VALUE(RIGHT(LEFT(G42,3),1))</f>
        <v>12</v>
      </c>
      <c r="F42" s="472" t="str">
        <f>RIGHT(G42,2) &amp; IF(A42&lt;2,"x","")</f>
        <v>pm</v>
      </c>
      <c r="G42" s="472" t="s">
        <v>133</v>
      </c>
      <c r="H42" s="472" t="s">
        <v>86</v>
      </c>
      <c r="I42" s="472" t="s">
        <v>90</v>
      </c>
      <c r="K42" s="473">
        <f>LOOKUP(1E+100,M42:AC42)</f>
        <v>1186.8787697632317</v>
      </c>
      <c r="M42" s="473">
        <v>1200</v>
      </c>
      <c r="P42" s="472">
        <v>1186.8787697632317</v>
      </c>
    </row>
    <row r="43" spans="1:16">
      <c r="A43" s="472">
        <v>4</v>
      </c>
      <c r="C43" s="472">
        <f>IF(E43=E42,C42+1,1)</f>
        <v>36</v>
      </c>
      <c r="D43" s="472">
        <f>IF(K43=K42,D42,C43)</f>
        <v>36</v>
      </c>
      <c r="E43" s="472">
        <f>10+VALUE(RIGHT(LEFT(G43,3),1))</f>
        <v>12</v>
      </c>
      <c r="F43" s="472" t="str">
        <f>RIGHT(G43,2) &amp; IF(A43&lt;2,"x","")</f>
        <v>pm</v>
      </c>
      <c r="G43" s="472" t="s">
        <v>116</v>
      </c>
      <c r="H43" s="472" t="s">
        <v>117</v>
      </c>
      <c r="I43" s="472" t="s">
        <v>115</v>
      </c>
      <c r="K43" s="473">
        <f>LOOKUP(1E+100,M43:AC43)</f>
        <v>1169.9965894145842</v>
      </c>
      <c r="M43" s="473">
        <v>1200</v>
      </c>
      <c r="P43" s="472">
        <v>1169.9965894145842</v>
      </c>
    </row>
    <row r="44" spans="1:16">
      <c r="A44" s="472">
        <v>3</v>
      </c>
      <c r="C44" s="472">
        <f>IF(E44=E43,C43+1,1)</f>
        <v>37</v>
      </c>
      <c r="D44" s="472">
        <f>IF(K44=K43,D43,C44)</f>
        <v>37</v>
      </c>
      <c r="E44" s="472">
        <f>10+VALUE(RIGHT(LEFT(G44,3),1))</f>
        <v>12</v>
      </c>
      <c r="F44" s="472" t="str">
        <f>RIGHT(G44,2) &amp; IF(A44&lt;2,"x","")</f>
        <v>pm</v>
      </c>
      <c r="G44" s="472" t="s">
        <v>122</v>
      </c>
      <c r="H44" s="472" t="s">
        <v>123</v>
      </c>
      <c r="I44" s="472" t="s">
        <v>121</v>
      </c>
      <c r="K44" s="473">
        <f>LOOKUP(1E+100,M44:AC44)</f>
        <v>1160.7781668554978</v>
      </c>
      <c r="M44" s="473">
        <v>1200</v>
      </c>
      <c r="P44" s="472">
        <v>1160.7781668554978</v>
      </c>
    </row>
    <row r="45" spans="1:16">
      <c r="A45" s="472">
        <v>4</v>
      </c>
      <c r="C45" s="472">
        <f>IF(E45=E44,C44+1,1)</f>
        <v>1</v>
      </c>
      <c r="D45" s="472">
        <f>IF(K45=K44,D44,C45)</f>
        <v>1</v>
      </c>
      <c r="E45" s="472">
        <f>10+VALUE(RIGHT(LEFT(G45,3),1))</f>
        <v>13</v>
      </c>
      <c r="F45" s="472" t="str">
        <f>RIGHT(G45,2) &amp; IF(A45&lt;2,"x","")</f>
        <v>pm</v>
      </c>
      <c r="G45" s="472" t="s">
        <v>442</v>
      </c>
      <c r="H45" s="472" t="s">
        <v>331</v>
      </c>
      <c r="I45" s="472" t="s">
        <v>443</v>
      </c>
      <c r="K45" s="473">
        <f>LOOKUP(1E+100,M45:AC45)</f>
        <v>2136.3174765642048</v>
      </c>
      <c r="M45" s="473">
        <v>2000</v>
      </c>
      <c r="N45" s="472">
        <v>2136.3174765642048</v>
      </c>
    </row>
    <row r="46" spans="1:16">
      <c r="A46" s="472">
        <v>6</v>
      </c>
      <c r="C46" s="472">
        <f>IF(E46=E45,C45+1,1)</f>
        <v>2</v>
      </c>
      <c r="D46" s="472">
        <f>IF(K46=K45,D45,C46)</f>
        <v>2</v>
      </c>
      <c r="E46" s="472">
        <f>10+VALUE(RIGHT(LEFT(G46,3),1))</f>
        <v>13</v>
      </c>
      <c r="F46" s="472" t="str">
        <f>RIGHT(G46,2) &amp; IF(A46&lt;2,"x","")</f>
        <v>pm</v>
      </c>
      <c r="G46" s="472" t="s">
        <v>444</v>
      </c>
      <c r="H46" s="472" t="s">
        <v>386</v>
      </c>
      <c r="I46" s="472" t="s">
        <v>445</v>
      </c>
      <c r="K46" s="473">
        <f>LOOKUP(1E+100,M46:AC46)</f>
        <v>2121.6308368759796</v>
      </c>
      <c r="M46" s="473">
        <v>2000</v>
      </c>
      <c r="N46" s="472">
        <v>2121.6308368759796</v>
      </c>
    </row>
    <row r="47" spans="1:16">
      <c r="A47" s="472">
        <v>3</v>
      </c>
      <c r="C47" s="472">
        <f>IF(E47=E46,C46+1,1)</f>
        <v>3</v>
      </c>
      <c r="D47" s="472">
        <f>IF(K47=K46,D46,C47)</f>
        <v>3</v>
      </c>
      <c r="E47" s="472">
        <f>10+VALUE(RIGHT(LEFT(G47,3),1))</f>
        <v>13</v>
      </c>
      <c r="F47" s="472" t="str">
        <f>RIGHT(G47,2) &amp; IF(A47&lt;2,"x","")</f>
        <v>pm</v>
      </c>
      <c r="G47" s="472" t="s">
        <v>451</v>
      </c>
      <c r="H47" s="472" t="s">
        <v>452</v>
      </c>
      <c r="I47" s="472" t="s">
        <v>453</v>
      </c>
      <c r="K47" s="473">
        <f>LOOKUP(1E+100,M47:AC47)</f>
        <v>2068.8673410456058</v>
      </c>
      <c r="M47" s="473">
        <v>2000</v>
      </c>
      <c r="N47" s="472">
        <v>2068.8673410456058</v>
      </c>
    </row>
    <row r="48" spans="1:16">
      <c r="A48" s="472">
        <v>3</v>
      </c>
      <c r="C48" s="472">
        <f>IF(E48=E47,C47+1,1)</f>
        <v>4</v>
      </c>
      <c r="D48" s="472">
        <f>IF(K48=K47,D47,C48)</f>
        <v>4</v>
      </c>
      <c r="E48" s="472">
        <f>10+VALUE(RIGHT(LEFT(G48,3),1))</f>
        <v>13</v>
      </c>
      <c r="F48" s="472" t="str">
        <f>RIGHT(G48,2) &amp; IF(A48&lt;2,"x","")</f>
        <v>pm</v>
      </c>
      <c r="G48" s="472" t="s">
        <v>446</v>
      </c>
      <c r="H48" s="472" t="s">
        <v>391</v>
      </c>
      <c r="I48" s="472" t="s">
        <v>447</v>
      </c>
      <c r="K48" s="473">
        <f>LOOKUP(1E+100,M48:AC48)</f>
        <v>2000</v>
      </c>
      <c r="M48" s="473">
        <v>2000</v>
      </c>
    </row>
    <row r="49" spans="1:15">
      <c r="A49" s="472">
        <v>2</v>
      </c>
      <c r="C49" s="472">
        <f>IF(E49=E48,C48+1,1)</f>
        <v>5</v>
      </c>
      <c r="D49" s="472">
        <f>IF(K49=K48,D48,C49)</f>
        <v>4</v>
      </c>
      <c r="E49" s="472">
        <f>10+VALUE(RIGHT(LEFT(G49,3),1))</f>
        <v>13</v>
      </c>
      <c r="F49" s="472" t="str">
        <f>RIGHT(G49,2) &amp; IF(A49&lt;2,"x","")</f>
        <v>pm</v>
      </c>
      <c r="G49" s="472" t="s">
        <v>454</v>
      </c>
      <c r="H49" s="472" t="s">
        <v>154</v>
      </c>
      <c r="I49" s="472" t="s">
        <v>455</v>
      </c>
      <c r="K49" s="473">
        <f>LOOKUP(1E+100,M49:AC49)</f>
        <v>2000</v>
      </c>
      <c r="M49" s="473">
        <v>2000</v>
      </c>
    </row>
    <row r="50" spans="1:15">
      <c r="A50" s="472">
        <v>2</v>
      </c>
      <c r="C50" s="472">
        <f>IF(E50=E49,C49+1,1)</f>
        <v>6</v>
      </c>
      <c r="D50" s="472">
        <f>IF(K50=K49,D49,C50)</f>
        <v>4</v>
      </c>
      <c r="E50" s="472">
        <f>10+VALUE(RIGHT(LEFT(G50,3),1))</f>
        <v>13</v>
      </c>
      <c r="F50" s="472" t="str">
        <f>RIGHT(G50,2) &amp; IF(A50&lt;2,"x","")</f>
        <v>pm</v>
      </c>
      <c r="G50" s="472" t="s">
        <v>456</v>
      </c>
      <c r="H50" s="472" t="s">
        <v>154</v>
      </c>
      <c r="I50" s="472" t="s">
        <v>457</v>
      </c>
      <c r="K50" s="473">
        <f>LOOKUP(1E+100,M50:AC50)</f>
        <v>2000</v>
      </c>
      <c r="M50" s="473">
        <v>2000</v>
      </c>
    </row>
    <row r="51" spans="1:15">
      <c r="A51" s="472">
        <v>2</v>
      </c>
      <c r="C51" s="472">
        <f>IF(E51=E50,C50+1,1)</f>
        <v>7</v>
      </c>
      <c r="D51" s="472">
        <f>IF(K51=K50,D50,C51)</f>
        <v>4</v>
      </c>
      <c r="E51" s="472">
        <f>10+VALUE(RIGHT(LEFT(G51,3),1))</f>
        <v>13</v>
      </c>
      <c r="F51" s="472" t="str">
        <f>RIGHT(G51,2) &amp; IF(A51&lt;2,"x","")</f>
        <v>pm</v>
      </c>
      <c r="G51" s="472" t="s">
        <v>458</v>
      </c>
      <c r="H51" s="472" t="s">
        <v>154</v>
      </c>
      <c r="I51" s="472" t="s">
        <v>459</v>
      </c>
      <c r="K51" s="473">
        <f>LOOKUP(1E+100,M51:AC51)</f>
        <v>2000</v>
      </c>
      <c r="M51" s="473">
        <v>2000</v>
      </c>
    </row>
    <row r="52" spans="1:15">
      <c r="A52" s="472">
        <v>3</v>
      </c>
      <c r="C52" s="472">
        <f>IF(E52=E51,C51+1,1)</f>
        <v>8</v>
      </c>
      <c r="D52" s="472">
        <f>IF(K52=K51,D51,C52)</f>
        <v>4</v>
      </c>
      <c r="E52" s="472">
        <f>10+VALUE(RIGHT(LEFT(G52,3),1))</f>
        <v>13</v>
      </c>
      <c r="F52" s="472" t="str">
        <f>RIGHT(G52,2) &amp; IF(A52&lt;2,"x","")</f>
        <v>pm</v>
      </c>
      <c r="G52" s="472" t="s">
        <v>460</v>
      </c>
      <c r="H52" s="472" t="s">
        <v>408</v>
      </c>
      <c r="I52" s="472" t="s">
        <v>461</v>
      </c>
      <c r="K52" s="473">
        <f>LOOKUP(1E+100,M52:AC52)</f>
        <v>2000</v>
      </c>
      <c r="M52" s="473">
        <v>2000</v>
      </c>
    </row>
    <row r="53" spans="1:15">
      <c r="A53" s="472">
        <v>3</v>
      </c>
      <c r="C53" s="472">
        <f>IF(E53=E52,C52+1,1)</f>
        <v>9</v>
      </c>
      <c r="D53" s="472">
        <f>IF(K53=K52,D52,C53)</f>
        <v>4</v>
      </c>
      <c r="E53" s="472">
        <f>10+VALUE(RIGHT(LEFT(G53,3),1))</f>
        <v>13</v>
      </c>
      <c r="F53" s="472" t="str">
        <f>RIGHT(G53,2) &amp; IF(A53&lt;2,"x","")</f>
        <v>pm</v>
      </c>
      <c r="G53" s="472" t="s">
        <v>462</v>
      </c>
      <c r="H53" s="472" t="s">
        <v>408</v>
      </c>
      <c r="I53" s="472" t="s">
        <v>463</v>
      </c>
      <c r="K53" s="473">
        <f>LOOKUP(1E+100,M53:AC53)</f>
        <v>2000</v>
      </c>
      <c r="M53" s="473">
        <v>2000</v>
      </c>
    </row>
    <row r="54" spans="1:15">
      <c r="A54" s="472">
        <v>2</v>
      </c>
      <c r="C54" s="472">
        <f>IF(E54=E53,C53+1,1)</f>
        <v>10</v>
      </c>
      <c r="D54" s="472">
        <f>IF(K54=K53,D53,C54)</f>
        <v>4</v>
      </c>
      <c r="E54" s="472">
        <f>10+VALUE(RIGHT(LEFT(G54,3),1))</f>
        <v>13</v>
      </c>
      <c r="F54" s="472" t="str">
        <f>RIGHT(G54,2) &amp; IF(A54&lt;2,"x","")</f>
        <v>pm</v>
      </c>
      <c r="G54" s="472" t="s">
        <v>467</v>
      </c>
      <c r="H54" s="472" t="s">
        <v>86</v>
      </c>
      <c r="I54" s="472" t="s">
        <v>468</v>
      </c>
      <c r="K54" s="473">
        <f>LOOKUP(1E+100,M54:AC54)</f>
        <v>2000</v>
      </c>
      <c r="M54" s="473">
        <v>2000</v>
      </c>
    </row>
    <row r="55" spans="1:15">
      <c r="A55" s="472">
        <v>3</v>
      </c>
      <c r="C55" s="472">
        <f>IF(E55=E54,C54+1,1)</f>
        <v>11</v>
      </c>
      <c r="D55" s="472">
        <f>IF(K55=K54,D54,C55)</f>
        <v>4</v>
      </c>
      <c r="E55" s="472">
        <f>10+VALUE(RIGHT(LEFT(G55,3),1))</f>
        <v>13</v>
      </c>
      <c r="F55" s="472" t="str">
        <f>RIGHT(G55,2) &amp; IF(A55&lt;2,"x","")</f>
        <v>pm</v>
      </c>
      <c r="G55" s="472" t="s">
        <v>482</v>
      </c>
      <c r="H55" s="472" t="s">
        <v>483</v>
      </c>
      <c r="I55" s="472" t="s">
        <v>484</v>
      </c>
      <c r="K55" s="473">
        <f>LOOKUP(1E+100,M55:AC55)</f>
        <v>2000</v>
      </c>
      <c r="M55" s="473">
        <v>2000</v>
      </c>
    </row>
    <row r="56" spans="1:15">
      <c r="A56" s="472">
        <v>2</v>
      </c>
      <c r="C56" s="472">
        <f>IF(E56=E55,C55+1,1)</f>
        <v>12</v>
      </c>
      <c r="D56" s="472">
        <f>IF(K56=K55,D55,C56)</f>
        <v>12</v>
      </c>
      <c r="E56" s="472">
        <f>10+VALUE(RIGHT(LEFT(G56,3),1))</f>
        <v>13</v>
      </c>
      <c r="F56" s="472" t="str">
        <f>RIGHT(G56,2) &amp; IF(A56&lt;2,"x","")</f>
        <v>pm</v>
      </c>
      <c r="G56" s="472" t="s">
        <v>437</v>
      </c>
      <c r="H56" s="472" t="s">
        <v>370</v>
      </c>
      <c r="I56" s="472" t="s">
        <v>438</v>
      </c>
      <c r="K56" s="473">
        <f>LOOKUP(1E+100,M56:AC56)</f>
        <v>1957.4424167884204</v>
      </c>
      <c r="M56" s="473">
        <v>2000</v>
      </c>
      <c r="N56" s="472">
        <v>1957.4424167884204</v>
      </c>
    </row>
    <row r="57" spans="1:15">
      <c r="A57" s="472">
        <v>4</v>
      </c>
      <c r="C57" s="472">
        <f>IF(E57=E56,C56+1,1)</f>
        <v>13</v>
      </c>
      <c r="D57" s="472">
        <f>IF(K57=K56,D56,C57)</f>
        <v>13</v>
      </c>
      <c r="E57" s="472">
        <f>10+VALUE(RIGHT(LEFT(G57,3),1))</f>
        <v>13</v>
      </c>
      <c r="F57" s="472" t="str">
        <f>RIGHT(G57,2) &amp; IF(A57&lt;2,"x","")</f>
        <v>pm</v>
      </c>
      <c r="G57" s="472" t="s">
        <v>485</v>
      </c>
      <c r="H57" s="472" t="s">
        <v>92</v>
      </c>
      <c r="I57" s="472" t="s">
        <v>486</v>
      </c>
      <c r="K57" s="473">
        <f>LOOKUP(1E+100,M57:AC57)</f>
        <v>1950</v>
      </c>
      <c r="M57" s="473">
        <v>1950</v>
      </c>
    </row>
    <row r="58" spans="1:15">
      <c r="A58" s="472">
        <v>5</v>
      </c>
      <c r="C58" s="472">
        <f>IF(E58=E57,C57+1,1)</f>
        <v>14</v>
      </c>
      <c r="D58" s="472">
        <f>IF(K58=K57,D57,C58)</f>
        <v>14</v>
      </c>
      <c r="E58" s="472">
        <f>10+VALUE(RIGHT(LEFT(G58,3),1))</f>
        <v>13</v>
      </c>
      <c r="F58" s="472" t="str">
        <f>RIGHT(G58,2) &amp; IF(A58&lt;2,"x","")</f>
        <v>pm</v>
      </c>
      <c r="G58" s="472" t="s">
        <v>487</v>
      </c>
      <c r="H58" s="472" t="s">
        <v>92</v>
      </c>
      <c r="I58" s="472" t="s">
        <v>488</v>
      </c>
      <c r="K58" s="473">
        <f>LOOKUP(1E+100,M58:AC58)</f>
        <v>1920</v>
      </c>
      <c r="M58" s="473">
        <v>1920</v>
      </c>
    </row>
    <row r="59" spans="1:15">
      <c r="A59" s="472">
        <v>3</v>
      </c>
      <c r="C59" s="472">
        <f>IF(E59=E58,C58+1,1)</f>
        <v>15</v>
      </c>
      <c r="D59" s="472">
        <f>IF(K59=K58,D58,C59)</f>
        <v>15</v>
      </c>
      <c r="E59" s="472">
        <f>10+VALUE(RIGHT(LEFT(G59,3),1))</f>
        <v>13</v>
      </c>
      <c r="F59" s="472" t="str">
        <f>RIGHT(G59,2) &amp; IF(A59&lt;2,"x","")</f>
        <v>pm</v>
      </c>
      <c r="G59" s="472" t="s">
        <v>489</v>
      </c>
      <c r="H59" s="472" t="s">
        <v>490</v>
      </c>
      <c r="I59" s="472" t="s">
        <v>490</v>
      </c>
      <c r="K59" s="473">
        <f>LOOKUP(1E+100,M59:AC59)</f>
        <v>1832.6750811792997</v>
      </c>
      <c r="M59" s="473">
        <v>1800</v>
      </c>
      <c r="O59" s="472">
        <v>1832.6750811792997</v>
      </c>
    </row>
    <row r="60" spans="1:15">
      <c r="A60" s="472">
        <v>3</v>
      </c>
      <c r="C60" s="472">
        <f>IF(E60=E59,C59+1,1)</f>
        <v>16</v>
      </c>
      <c r="D60" s="472">
        <f>IF(K60=K59,D59,C60)</f>
        <v>16</v>
      </c>
      <c r="E60" s="472">
        <f>10+VALUE(RIGHT(LEFT(G60,3),1))</f>
        <v>13</v>
      </c>
      <c r="F60" s="472" t="str">
        <f>RIGHT(G60,2) &amp; IF(A60&lt;2,"x","")</f>
        <v>pm</v>
      </c>
      <c r="G60" s="472" t="s">
        <v>496</v>
      </c>
      <c r="H60" s="472" t="s">
        <v>370</v>
      </c>
      <c r="I60" s="472" t="s">
        <v>497</v>
      </c>
      <c r="K60" s="473">
        <f>LOOKUP(1E+100,M60:AC60)</f>
        <v>1800.3799320591111</v>
      </c>
      <c r="M60" s="473">
        <v>1733.3333333333333</v>
      </c>
      <c r="O60" s="472">
        <v>1800.3799320591111</v>
      </c>
    </row>
    <row r="61" spans="1:15">
      <c r="A61" s="472">
        <v>5</v>
      </c>
      <c r="C61" s="472">
        <f>IF(E61=E60,C60+1,1)</f>
        <v>17</v>
      </c>
      <c r="D61" s="472">
        <f>IF(K61=K60,D60,C61)</f>
        <v>17</v>
      </c>
      <c r="E61" s="472">
        <f>10+VALUE(RIGHT(LEFT(G61,3),1))</f>
        <v>13</v>
      </c>
      <c r="F61" s="472" t="str">
        <f>RIGHT(G61,2) &amp; IF(A61&lt;2,"x","")</f>
        <v>pm</v>
      </c>
      <c r="G61" s="472" t="s">
        <v>494</v>
      </c>
      <c r="H61" s="472" t="s">
        <v>337</v>
      </c>
      <c r="I61" s="472" t="s">
        <v>495</v>
      </c>
      <c r="K61" s="473">
        <f>LOOKUP(1E+100,M61:AC61)</f>
        <v>1754.0671620760272</v>
      </c>
      <c r="M61" s="473">
        <v>1760</v>
      </c>
      <c r="O61" s="472">
        <v>1754.0671620760272</v>
      </c>
    </row>
    <row r="62" spans="1:15">
      <c r="A62" s="472">
        <v>3</v>
      </c>
      <c r="C62" s="472">
        <f>IF(E62=E61,C61+1,1)</f>
        <v>18</v>
      </c>
      <c r="D62" s="472">
        <f>IF(K62=K61,D61,C62)</f>
        <v>18</v>
      </c>
      <c r="E62" s="472">
        <f>10+VALUE(RIGHT(LEFT(G62,3),1))</f>
        <v>13</v>
      </c>
      <c r="F62" s="472" t="str">
        <f>RIGHT(G62,2) &amp; IF(A62&lt;2,"x","")</f>
        <v>pm</v>
      </c>
      <c r="G62" s="472" t="s">
        <v>498</v>
      </c>
      <c r="H62" s="472" t="s">
        <v>154</v>
      </c>
      <c r="I62" s="472" t="s">
        <v>499</v>
      </c>
      <c r="K62" s="473">
        <f>LOOKUP(1E+100,M62:AC62)</f>
        <v>1733.3333333333333</v>
      </c>
      <c r="M62" s="473">
        <v>1733.3333333333333</v>
      </c>
    </row>
    <row r="63" spans="1:15">
      <c r="A63" s="472">
        <v>5</v>
      </c>
      <c r="C63" s="472">
        <f>IF(E63=E62,C62+1,1)</f>
        <v>19</v>
      </c>
      <c r="D63" s="472">
        <f>IF(K63=K62,D62,C63)</f>
        <v>19</v>
      </c>
      <c r="E63" s="472">
        <f>10+VALUE(RIGHT(LEFT(G63,3),1))</f>
        <v>13</v>
      </c>
      <c r="F63" s="472" t="str">
        <f>RIGHT(G63,2) &amp; IF(A63&lt;2,"x","")</f>
        <v>pm</v>
      </c>
      <c r="G63" s="472" t="s">
        <v>522</v>
      </c>
      <c r="H63" s="472" t="s">
        <v>383</v>
      </c>
      <c r="I63" s="472" t="s">
        <v>523</v>
      </c>
      <c r="K63" s="473">
        <f>LOOKUP(1E+100,M63:AC63)</f>
        <v>1728.897291095632</v>
      </c>
      <c r="M63" s="473">
        <v>1600</v>
      </c>
      <c r="O63" s="472">
        <v>1728.897291095632</v>
      </c>
    </row>
    <row r="64" spans="1:15">
      <c r="A64" s="472">
        <v>5</v>
      </c>
      <c r="C64" s="472">
        <f>IF(E64=E63,C63+1,1)</f>
        <v>20</v>
      </c>
      <c r="D64" s="472">
        <f>IF(K64=K63,D63,C64)</f>
        <v>20</v>
      </c>
      <c r="E64" s="472">
        <f>10+VALUE(RIGHT(LEFT(G64,3),1))</f>
        <v>13</v>
      </c>
      <c r="F64" s="472" t="str">
        <f>RIGHT(G64,2) &amp; IF(A64&lt;2,"x","")</f>
        <v>pm</v>
      </c>
      <c r="G64" s="472" t="s">
        <v>500</v>
      </c>
      <c r="H64" s="472" t="s">
        <v>501</v>
      </c>
      <c r="I64" s="472" t="s">
        <v>502</v>
      </c>
      <c r="K64" s="473">
        <f>LOOKUP(1E+100,M64:AC64)</f>
        <v>1727.4141373732955</v>
      </c>
      <c r="M64" s="473">
        <v>1680</v>
      </c>
      <c r="O64" s="472">
        <v>1727.4141373732955</v>
      </c>
    </row>
    <row r="65" spans="1:15">
      <c r="A65" s="472">
        <v>6</v>
      </c>
      <c r="C65" s="472">
        <f>IF(E65=E64,C64+1,1)</f>
        <v>21</v>
      </c>
      <c r="D65" s="472">
        <f>IF(K65=K64,D64,C65)</f>
        <v>21</v>
      </c>
      <c r="E65" s="472">
        <f>10+VALUE(RIGHT(LEFT(G65,3),1))</f>
        <v>13</v>
      </c>
      <c r="F65" s="472" t="str">
        <f>RIGHT(G65,2) &amp; IF(A65&lt;2,"x","")</f>
        <v>pm</v>
      </c>
      <c r="G65" s="472" t="s">
        <v>547</v>
      </c>
      <c r="H65" s="472" t="s">
        <v>421</v>
      </c>
      <c r="I65" s="472" t="s">
        <v>548</v>
      </c>
      <c r="K65" s="473">
        <f>LOOKUP(1E+100,M65:AC65)</f>
        <v>1645.408006056949</v>
      </c>
      <c r="M65" s="473">
        <v>1600</v>
      </c>
      <c r="O65" s="472">
        <v>1645.408006056949</v>
      </c>
    </row>
    <row r="66" spans="1:15">
      <c r="A66" s="472">
        <v>3</v>
      </c>
      <c r="C66" s="472">
        <f>IF(E66=E65,C65+1,1)</f>
        <v>22</v>
      </c>
      <c r="D66" s="472">
        <f>IF(K66=K65,D65,C66)</f>
        <v>22</v>
      </c>
      <c r="E66" s="472">
        <f>10+VALUE(RIGHT(LEFT(G66,3),1))</f>
        <v>13</v>
      </c>
      <c r="F66" s="472" t="str">
        <f>RIGHT(G66,2) &amp; IF(A66&lt;2,"x","")</f>
        <v>pm</v>
      </c>
      <c r="G66" s="472" t="s">
        <v>516</v>
      </c>
      <c r="H66" s="472" t="s">
        <v>331</v>
      </c>
      <c r="I66" s="472" t="s">
        <v>517</v>
      </c>
      <c r="K66" s="473">
        <f>LOOKUP(1E+100,M66:AC66)</f>
        <v>1640.5992668477998</v>
      </c>
      <c r="M66" s="473">
        <v>1600</v>
      </c>
      <c r="O66" s="472">
        <v>1640.5992668477998</v>
      </c>
    </row>
    <row r="67" spans="1:15">
      <c r="A67" s="472">
        <v>5</v>
      </c>
      <c r="C67" s="472">
        <f>IF(E67=E66,C66+1,1)</f>
        <v>23</v>
      </c>
      <c r="D67" s="472">
        <f>IF(K67=K66,D66,C67)</f>
        <v>23</v>
      </c>
      <c r="E67" s="472">
        <f>10+VALUE(RIGHT(LEFT(G67,3),1))</f>
        <v>13</v>
      </c>
      <c r="F67" s="472" t="str">
        <f>RIGHT(G67,2) &amp; IF(A67&lt;2,"x","")</f>
        <v>pm</v>
      </c>
      <c r="G67" s="472" t="s">
        <v>503</v>
      </c>
      <c r="H67" s="472" t="s">
        <v>501</v>
      </c>
      <c r="I67" s="472" t="s">
        <v>504</v>
      </c>
      <c r="K67" s="473">
        <f>LOOKUP(1E+100,M67:AC67)</f>
        <v>1638.9266878949168</v>
      </c>
      <c r="M67" s="473">
        <v>1680</v>
      </c>
      <c r="O67" s="472">
        <v>1638.9266878949168</v>
      </c>
    </row>
    <row r="68" spans="1:15">
      <c r="A68" s="472">
        <v>6</v>
      </c>
      <c r="C68" s="472">
        <f>IF(E68=E67,C67+1,1)</f>
        <v>24</v>
      </c>
      <c r="D68" s="472">
        <f>IF(K68=K67,D67,C68)</f>
        <v>24</v>
      </c>
      <c r="E68" s="472">
        <f>10+VALUE(RIGHT(LEFT(G68,3),1))</f>
        <v>13</v>
      </c>
      <c r="F68" s="472" t="str">
        <f>RIGHT(G68,2) &amp; IF(A68&lt;2,"x","")</f>
        <v>pm</v>
      </c>
      <c r="G68" s="472" t="s">
        <v>524</v>
      </c>
      <c r="H68" s="472" t="s">
        <v>386</v>
      </c>
      <c r="I68" s="472" t="s">
        <v>525</v>
      </c>
      <c r="K68" s="473">
        <f>LOOKUP(1E+100,M68:AC68)</f>
        <v>1625.3262917022503</v>
      </c>
      <c r="M68" s="473">
        <v>1600</v>
      </c>
      <c r="O68" s="472">
        <v>1625.3262917022503</v>
      </c>
    </row>
    <row r="69" spans="1:15">
      <c r="A69" s="472">
        <v>5</v>
      </c>
      <c r="C69" s="472">
        <f>IF(E69=E68,C68+1,1)</f>
        <v>25</v>
      </c>
      <c r="D69" s="472">
        <f>IF(K69=K68,D68,C69)</f>
        <v>25</v>
      </c>
      <c r="E69" s="472">
        <f>10+VALUE(RIGHT(LEFT(G69,3),1))</f>
        <v>13</v>
      </c>
      <c r="F69" s="472" t="str">
        <f>RIGHT(G69,2) &amp; IF(A69&lt;2,"x","")</f>
        <v>pm</v>
      </c>
      <c r="G69" s="472" t="s">
        <v>533</v>
      </c>
      <c r="H69" s="472" t="s">
        <v>301</v>
      </c>
      <c r="I69" s="472" t="s">
        <v>534</v>
      </c>
      <c r="K69" s="473">
        <f>LOOKUP(1E+100,M69:AC69)</f>
        <v>1605.2989833259981</v>
      </c>
      <c r="M69" s="473">
        <v>1600</v>
      </c>
      <c r="O69" s="472">
        <v>1605.2989833259981</v>
      </c>
    </row>
    <row r="70" spans="1:15">
      <c r="A70" s="472">
        <v>3</v>
      </c>
      <c r="C70" s="472">
        <f>IF(E70=E69,C69+1,1)</f>
        <v>26</v>
      </c>
      <c r="D70" s="472">
        <f>IF(K70=K69,D69,C70)</f>
        <v>26</v>
      </c>
      <c r="E70" s="472">
        <f>10+VALUE(RIGHT(LEFT(G70,3),1))</f>
        <v>13</v>
      </c>
      <c r="F70" s="472" t="str">
        <f>RIGHT(G70,2) &amp; IF(A70&lt;2,"x","")</f>
        <v>pm</v>
      </c>
      <c r="G70" s="472" t="s">
        <v>518</v>
      </c>
      <c r="H70" s="472" t="s">
        <v>331</v>
      </c>
      <c r="I70" s="472" t="s">
        <v>519</v>
      </c>
      <c r="K70" s="473">
        <f>LOOKUP(1E+100,M70:AC70)</f>
        <v>1600</v>
      </c>
      <c r="M70" s="473">
        <v>1600</v>
      </c>
    </row>
    <row r="71" spans="1:15">
      <c r="A71" s="472">
        <v>3</v>
      </c>
      <c r="C71" s="472">
        <f>IF(E71=E70,C70+1,1)</f>
        <v>27</v>
      </c>
      <c r="D71" s="472">
        <f>IF(K71=K70,D70,C71)</f>
        <v>26</v>
      </c>
      <c r="E71" s="472">
        <f>10+VALUE(RIGHT(LEFT(G71,3),1))</f>
        <v>13</v>
      </c>
      <c r="F71" s="472" t="str">
        <f>RIGHT(G71,2) &amp; IF(A71&lt;2,"x","")</f>
        <v>pm</v>
      </c>
      <c r="G71" s="472" t="s">
        <v>520</v>
      </c>
      <c r="H71" s="472" t="s">
        <v>331</v>
      </c>
      <c r="I71" s="472" t="s">
        <v>521</v>
      </c>
      <c r="K71" s="473">
        <f>LOOKUP(1E+100,M71:AC71)</f>
        <v>1600</v>
      </c>
      <c r="M71" s="473">
        <v>1600</v>
      </c>
    </row>
    <row r="72" spans="1:15">
      <c r="A72" s="472">
        <v>5</v>
      </c>
      <c r="C72" s="472">
        <f>IF(E72=E71,C71+1,1)</f>
        <v>28</v>
      </c>
      <c r="D72" s="472">
        <f>IF(K72=K71,D71,C72)</f>
        <v>26</v>
      </c>
      <c r="E72" s="472">
        <f>10+VALUE(RIGHT(LEFT(G72,3),1))</f>
        <v>13</v>
      </c>
      <c r="F72" s="472" t="str">
        <f>RIGHT(G72,2) &amp; IF(A72&lt;2,"x","")</f>
        <v>pm</v>
      </c>
      <c r="G72" s="472" t="s">
        <v>526</v>
      </c>
      <c r="H72" s="472" t="s">
        <v>386</v>
      </c>
      <c r="I72" s="472" t="s">
        <v>527</v>
      </c>
      <c r="K72" s="473">
        <f>LOOKUP(1E+100,M72:AC72)</f>
        <v>1600</v>
      </c>
      <c r="M72" s="473">
        <v>1600</v>
      </c>
    </row>
    <row r="73" spans="1:15">
      <c r="A73" s="472">
        <v>4</v>
      </c>
      <c r="C73" s="472">
        <f>IF(E73=E72,C72+1,1)</f>
        <v>29</v>
      </c>
      <c r="D73" s="472">
        <f>IF(K73=K72,D72,C73)</f>
        <v>26</v>
      </c>
      <c r="E73" s="472">
        <f>10+VALUE(RIGHT(LEFT(G73,3),1))</f>
        <v>13</v>
      </c>
      <c r="F73" s="472" t="str">
        <f>RIGHT(G73,2) &amp; IF(A73&lt;2,"x","")</f>
        <v>pm</v>
      </c>
      <c r="G73" s="472" t="s">
        <v>537</v>
      </c>
      <c r="H73" s="472" t="s">
        <v>397</v>
      </c>
      <c r="I73" s="472" t="s">
        <v>538</v>
      </c>
      <c r="K73" s="473">
        <f>LOOKUP(1E+100,M73:AC73)</f>
        <v>1600</v>
      </c>
      <c r="M73" s="473">
        <v>1600</v>
      </c>
    </row>
    <row r="74" spans="1:15">
      <c r="A74" s="472">
        <v>3</v>
      </c>
      <c r="C74" s="472">
        <f>IF(E74=E73,C73+1,1)</f>
        <v>30</v>
      </c>
      <c r="D74" s="472">
        <f>IF(K74=K73,D73,C74)</f>
        <v>26</v>
      </c>
      <c r="E74" s="472">
        <f>10+VALUE(RIGHT(LEFT(G74,3),1))</f>
        <v>13</v>
      </c>
      <c r="F74" s="472" t="str">
        <f>RIGHT(G74,2) &amp; IF(A74&lt;2,"x","")</f>
        <v>pm</v>
      </c>
      <c r="G74" s="472" t="s">
        <v>539</v>
      </c>
      <c r="H74" s="472" t="s">
        <v>540</v>
      </c>
      <c r="I74" s="472" t="s">
        <v>541</v>
      </c>
      <c r="K74" s="473">
        <f>LOOKUP(1E+100,M74:AC74)</f>
        <v>1600</v>
      </c>
      <c r="M74" s="473">
        <v>1600</v>
      </c>
    </row>
    <row r="75" spans="1:15">
      <c r="A75" s="472">
        <v>5</v>
      </c>
      <c r="C75" s="472">
        <f>IF(E75=E74,C74+1,1)</f>
        <v>31</v>
      </c>
      <c r="D75" s="472">
        <f>IF(K75=K74,D74,C75)</f>
        <v>26</v>
      </c>
      <c r="E75" s="472">
        <f>10+VALUE(RIGHT(LEFT(G75,3),1))</f>
        <v>13</v>
      </c>
      <c r="F75" s="472" t="str">
        <f>RIGHT(G75,2) &amp; IF(A75&lt;2,"x","")</f>
        <v>pm</v>
      </c>
      <c r="G75" s="472" t="s">
        <v>545</v>
      </c>
      <c r="H75" s="472" t="s">
        <v>402</v>
      </c>
      <c r="I75" s="472" t="s">
        <v>546</v>
      </c>
      <c r="K75" s="473">
        <f>LOOKUP(1E+100,M75:AC75)</f>
        <v>1600</v>
      </c>
      <c r="M75" s="473">
        <v>1600</v>
      </c>
    </row>
    <row r="76" spans="1:15">
      <c r="A76" s="472">
        <v>2</v>
      </c>
      <c r="C76" s="472">
        <f>IF(E76=E75,C75+1,1)</f>
        <v>32</v>
      </c>
      <c r="D76" s="472">
        <f>IF(K76=K75,D75,C76)</f>
        <v>26</v>
      </c>
      <c r="E76" s="472">
        <f>10+VALUE(RIGHT(LEFT(G76,3),1))</f>
        <v>13</v>
      </c>
      <c r="F76" s="472" t="str">
        <f>RIGHT(G76,2) &amp; IF(A76&lt;2,"x","")</f>
        <v>pm</v>
      </c>
      <c r="G76" s="472" t="s">
        <v>553</v>
      </c>
      <c r="H76" s="472" t="s">
        <v>154</v>
      </c>
      <c r="I76" s="472" t="s">
        <v>554</v>
      </c>
      <c r="K76" s="473">
        <f>LOOKUP(1E+100,M76:AC76)</f>
        <v>1600</v>
      </c>
      <c r="M76" s="473">
        <v>1600</v>
      </c>
    </row>
    <row r="77" spans="1:15">
      <c r="A77" s="472">
        <v>2</v>
      </c>
      <c r="C77" s="472">
        <f>IF(E77=E76,C76+1,1)</f>
        <v>33</v>
      </c>
      <c r="D77" s="472">
        <f>IF(K77=K76,D76,C77)</f>
        <v>26</v>
      </c>
      <c r="E77" s="472">
        <f>10+VALUE(RIGHT(LEFT(G77,3),1))</f>
        <v>13</v>
      </c>
      <c r="F77" s="472" t="str">
        <f>RIGHT(G77,2) &amp; IF(A77&lt;2,"x","")</f>
        <v>pm</v>
      </c>
      <c r="G77" s="472" t="s">
        <v>555</v>
      </c>
      <c r="H77" s="472" t="s">
        <v>154</v>
      </c>
      <c r="I77" s="472" t="s">
        <v>556</v>
      </c>
      <c r="K77" s="473">
        <f>LOOKUP(1E+100,M77:AC77)</f>
        <v>1600</v>
      </c>
      <c r="M77" s="473">
        <v>1600</v>
      </c>
    </row>
    <row r="78" spans="1:15">
      <c r="A78" s="472">
        <v>2</v>
      </c>
      <c r="C78" s="472">
        <f>IF(E78=E77,C77+1,1)</f>
        <v>34</v>
      </c>
      <c r="D78" s="472">
        <f>IF(K78=K77,D77,C78)</f>
        <v>26</v>
      </c>
      <c r="E78" s="472">
        <f>10+VALUE(RIGHT(LEFT(G78,3),1))</f>
        <v>13</v>
      </c>
      <c r="F78" s="472" t="str">
        <f>RIGHT(G78,2) &amp; IF(A78&lt;2,"x","")</f>
        <v>pm</v>
      </c>
      <c r="G78" s="472" t="s">
        <v>557</v>
      </c>
      <c r="H78" s="472" t="s">
        <v>154</v>
      </c>
      <c r="I78" s="472" t="s">
        <v>558</v>
      </c>
      <c r="K78" s="473">
        <f>LOOKUP(1E+100,M78:AC78)</f>
        <v>1600</v>
      </c>
      <c r="M78" s="473">
        <v>1600</v>
      </c>
    </row>
    <row r="79" spans="1:15">
      <c r="A79" s="472">
        <v>2</v>
      </c>
      <c r="C79" s="472">
        <f>IF(E79=E78,C78+1,1)</f>
        <v>35</v>
      </c>
      <c r="D79" s="472">
        <f>IF(K79=K78,D78,C79)</f>
        <v>26</v>
      </c>
      <c r="E79" s="472">
        <f>10+VALUE(RIGHT(LEFT(G79,3),1))</f>
        <v>13</v>
      </c>
      <c r="F79" s="472" t="str">
        <f>RIGHT(G79,2) &amp; IF(A79&lt;2,"x","")</f>
        <v>pm</v>
      </c>
      <c r="G79" s="472" t="s">
        <v>559</v>
      </c>
      <c r="H79" s="472" t="s">
        <v>154</v>
      </c>
      <c r="I79" s="472" t="s">
        <v>560</v>
      </c>
      <c r="K79" s="473">
        <f>LOOKUP(1E+100,M79:AC79)</f>
        <v>1600</v>
      </c>
      <c r="M79" s="473">
        <v>1600</v>
      </c>
    </row>
    <row r="80" spans="1:15">
      <c r="A80" s="472">
        <v>2</v>
      </c>
      <c r="C80" s="472">
        <f>IF(E80=E79,C79+1,1)</f>
        <v>36</v>
      </c>
      <c r="D80" s="472">
        <f>IF(K80=K79,D79,C80)</f>
        <v>26</v>
      </c>
      <c r="E80" s="472">
        <f>10+VALUE(RIGHT(LEFT(G80,3),1))</f>
        <v>13</v>
      </c>
      <c r="F80" s="472" t="str">
        <f>RIGHT(G80,2) &amp; IF(A80&lt;2,"x","")</f>
        <v>pm</v>
      </c>
      <c r="G80" s="472" t="s">
        <v>563</v>
      </c>
      <c r="H80" s="472" t="s">
        <v>564</v>
      </c>
      <c r="I80" s="472" t="s">
        <v>565</v>
      </c>
      <c r="K80" s="473">
        <f>LOOKUP(1E+100,M80:AC80)</f>
        <v>1600</v>
      </c>
      <c r="M80" s="473">
        <v>1600</v>
      </c>
    </row>
    <row r="81" spans="1:15">
      <c r="A81" s="472">
        <v>5</v>
      </c>
      <c r="C81" s="472">
        <f>IF(E81=E80,C80+1,1)</f>
        <v>37</v>
      </c>
      <c r="D81" s="472">
        <f>IF(K81=K80,D80,C81)</f>
        <v>26</v>
      </c>
      <c r="E81" s="472">
        <f>10+VALUE(RIGHT(LEFT(G81,3),1))</f>
        <v>13</v>
      </c>
      <c r="F81" s="472" t="str">
        <f>RIGHT(G81,2) &amp; IF(A81&lt;2,"x","")</f>
        <v>pm</v>
      </c>
      <c r="G81" s="472" t="s">
        <v>572</v>
      </c>
      <c r="H81" s="472" t="s">
        <v>86</v>
      </c>
      <c r="I81" s="472" t="s">
        <v>573</v>
      </c>
      <c r="K81" s="473">
        <f>LOOKUP(1E+100,M81:AC81)</f>
        <v>1600</v>
      </c>
      <c r="M81" s="473">
        <v>1600</v>
      </c>
    </row>
    <row r="82" spans="1:15">
      <c r="A82" s="472">
        <v>5</v>
      </c>
      <c r="C82" s="472">
        <f>IF(E82=E81,C81+1,1)</f>
        <v>38</v>
      </c>
      <c r="D82" s="472">
        <f>IF(K82=K81,D81,C82)</f>
        <v>26</v>
      </c>
      <c r="E82" s="472">
        <f>10+VALUE(RIGHT(LEFT(G82,3),1))</f>
        <v>13</v>
      </c>
      <c r="F82" s="472" t="str">
        <f>RIGHT(G82,2) &amp; IF(A82&lt;2,"x","")</f>
        <v>pm</v>
      </c>
      <c r="G82" s="472" t="s">
        <v>574</v>
      </c>
      <c r="H82" s="472" t="s">
        <v>86</v>
      </c>
      <c r="I82" s="472" t="s">
        <v>575</v>
      </c>
      <c r="K82" s="473">
        <f>LOOKUP(1E+100,M82:AC82)</f>
        <v>1600</v>
      </c>
      <c r="M82" s="473">
        <v>1600</v>
      </c>
    </row>
    <row r="83" spans="1:15">
      <c r="A83" s="472">
        <v>3</v>
      </c>
      <c r="C83" s="472">
        <f>IF(E83=E82,C82+1,1)</f>
        <v>39</v>
      </c>
      <c r="D83" s="472">
        <f>IF(K83=K82,D82,C83)</f>
        <v>26</v>
      </c>
      <c r="E83" s="472">
        <f>10+VALUE(RIGHT(LEFT(G83,3),1))</f>
        <v>13</v>
      </c>
      <c r="F83" s="472" t="str">
        <f>RIGHT(G83,2) &amp; IF(A83&lt;2,"x","")</f>
        <v>pm</v>
      </c>
      <c r="G83" s="472" t="s">
        <v>576</v>
      </c>
      <c r="H83" s="472" t="s">
        <v>416</v>
      </c>
      <c r="I83" s="472" t="s">
        <v>577</v>
      </c>
      <c r="K83" s="473">
        <f>LOOKUP(1E+100,M83:AC83)</f>
        <v>1600</v>
      </c>
      <c r="M83" s="473">
        <v>1600</v>
      </c>
    </row>
    <row r="84" spans="1:15">
      <c r="A84" s="472">
        <v>5</v>
      </c>
      <c r="C84" s="472">
        <f>IF(E84=E83,C83+1,1)</f>
        <v>40</v>
      </c>
      <c r="D84" s="472">
        <f>IF(K84=K83,D83,C84)</f>
        <v>26</v>
      </c>
      <c r="E84" s="472">
        <f>10+VALUE(RIGHT(LEFT(G84,3),1))</f>
        <v>13</v>
      </c>
      <c r="F84" s="472" t="str">
        <f>RIGHT(G84,2) &amp; IF(A84&lt;2,"x","")</f>
        <v>pm</v>
      </c>
      <c r="G84" s="472" t="s">
        <v>578</v>
      </c>
      <c r="H84" s="472" t="s">
        <v>579</v>
      </c>
      <c r="I84" s="472" t="s">
        <v>580</v>
      </c>
      <c r="K84" s="473">
        <f>LOOKUP(1E+100,M84:AC84)</f>
        <v>1600</v>
      </c>
      <c r="M84" s="473">
        <v>1600</v>
      </c>
    </row>
    <row r="85" spans="1:15">
      <c r="A85" s="472">
        <v>4</v>
      </c>
      <c r="C85" s="472">
        <f>IF(E85=E84,C84+1,1)</f>
        <v>41</v>
      </c>
      <c r="D85" s="472">
        <f>IF(K85=K84,D84,C85)</f>
        <v>26</v>
      </c>
      <c r="E85" s="472">
        <f>10+VALUE(RIGHT(LEFT(G85,3),1))</f>
        <v>13</v>
      </c>
      <c r="F85" s="472" t="str">
        <f>RIGHT(G85,2) &amp; IF(A85&lt;2,"x","")</f>
        <v>pm</v>
      </c>
      <c r="G85" s="472" t="s">
        <v>581</v>
      </c>
      <c r="H85" s="472" t="s">
        <v>483</v>
      </c>
      <c r="I85" s="472" t="s">
        <v>582</v>
      </c>
      <c r="K85" s="473">
        <f>LOOKUP(1E+100,M85:AC85)</f>
        <v>1600</v>
      </c>
      <c r="M85" s="473">
        <v>1600</v>
      </c>
    </row>
    <row r="86" spans="1:15">
      <c r="A86" s="472">
        <v>4</v>
      </c>
      <c r="C86" s="472">
        <f>IF(E86=E85,C85+1,1)</f>
        <v>42</v>
      </c>
      <c r="D86" s="472">
        <f>IF(K86=K85,D85,C86)</f>
        <v>26</v>
      </c>
      <c r="E86" s="472">
        <f>10+VALUE(RIGHT(LEFT(G86,3),1))</f>
        <v>13</v>
      </c>
      <c r="F86" s="472" t="str">
        <f>RIGHT(G86,2) &amp; IF(A86&lt;2,"x","")</f>
        <v>pm</v>
      </c>
      <c r="G86" s="472" t="s">
        <v>583</v>
      </c>
      <c r="H86" s="472" t="s">
        <v>483</v>
      </c>
      <c r="I86" s="472" t="s">
        <v>584</v>
      </c>
      <c r="K86" s="473">
        <f>LOOKUP(1E+100,M86:AC86)</f>
        <v>1600</v>
      </c>
      <c r="M86" s="473">
        <v>1600</v>
      </c>
    </row>
    <row r="87" spans="1:15">
      <c r="A87" s="472">
        <v>7</v>
      </c>
      <c r="C87" s="472">
        <f>IF(E87=E86,C86+1,1)</f>
        <v>43</v>
      </c>
      <c r="D87" s="472">
        <f>IF(K87=K86,D86,C87)</f>
        <v>43</v>
      </c>
      <c r="E87" s="472">
        <f>10+VALUE(RIGHT(LEFT(G87,3),1))</f>
        <v>13</v>
      </c>
      <c r="F87" s="472" t="str">
        <f>RIGHT(G87,2) &amp; IF(A87&lt;2,"x","")</f>
        <v>pm</v>
      </c>
      <c r="G87" s="472" t="s">
        <v>570</v>
      </c>
      <c r="H87" s="472" t="s">
        <v>411</v>
      </c>
      <c r="I87" s="472" t="s">
        <v>571</v>
      </c>
      <c r="K87" s="473">
        <f>LOOKUP(1E+100,M87:AC87)</f>
        <v>1577.4900729060989</v>
      </c>
      <c r="M87" s="473">
        <v>1600</v>
      </c>
      <c r="O87" s="472">
        <v>1577.4900729060989</v>
      </c>
    </row>
    <row r="88" spans="1:15">
      <c r="A88" s="472">
        <v>5</v>
      </c>
      <c r="C88" s="472">
        <f>IF(E88=E87,C87+1,1)</f>
        <v>44</v>
      </c>
      <c r="D88" s="472">
        <f>IF(K88=K87,D87,C88)</f>
        <v>44</v>
      </c>
      <c r="E88" s="472">
        <f>10+VALUE(RIGHT(LEFT(G88,3),1))</f>
        <v>13</v>
      </c>
      <c r="F88" s="472" t="str">
        <f>RIGHT(G88,2) &amp; IF(A88&lt;2,"x","")</f>
        <v>pm</v>
      </c>
      <c r="G88" s="472" t="s">
        <v>511</v>
      </c>
      <c r="H88" s="472" t="s">
        <v>512</v>
      </c>
      <c r="I88" s="472" t="s">
        <v>513</v>
      </c>
      <c r="K88" s="473">
        <f>LOOKUP(1E+100,M88:AC88)</f>
        <v>1543.1379599637289</v>
      </c>
      <c r="M88" s="473">
        <v>1600</v>
      </c>
      <c r="O88" s="472">
        <v>1543.1379599637289</v>
      </c>
    </row>
    <row r="89" spans="1:15">
      <c r="A89" s="472">
        <v>4</v>
      </c>
      <c r="C89" s="472">
        <f>IF(E89=E88,C88+1,1)</f>
        <v>45</v>
      </c>
      <c r="D89" s="472">
        <f>IF(K89=K88,D88,C89)</f>
        <v>45</v>
      </c>
      <c r="E89" s="472">
        <f>10+VALUE(RIGHT(LEFT(G89,3),1))</f>
        <v>13</v>
      </c>
      <c r="F89" s="472" t="str">
        <f>RIGHT(G89,2) &amp; IF(A89&lt;2,"x","")</f>
        <v>pm</v>
      </c>
      <c r="G89" s="472" t="s">
        <v>514</v>
      </c>
      <c r="H89" s="472" t="s">
        <v>370</v>
      </c>
      <c r="I89" s="472" t="s">
        <v>515</v>
      </c>
      <c r="K89" s="473">
        <f>LOOKUP(1E+100,M89:AC89)</f>
        <v>1510.6135428350065</v>
      </c>
      <c r="M89" s="473">
        <v>1600</v>
      </c>
      <c r="O89" s="472">
        <v>1510.6135428350065</v>
      </c>
    </row>
    <row r="90" spans="1:15">
      <c r="A90" s="472">
        <v>6</v>
      </c>
      <c r="C90" s="472">
        <f>IF(E90=E89,C89+1,1)</f>
        <v>46</v>
      </c>
      <c r="D90" s="472">
        <f>IF(K90=K89,D89,C90)</f>
        <v>46</v>
      </c>
      <c r="E90" s="472">
        <f>10+VALUE(RIGHT(LEFT(G90,3),1))</f>
        <v>13</v>
      </c>
      <c r="F90" s="472" t="str">
        <f>RIGHT(G90,2) &amp; IF(A90&lt;2,"x","")</f>
        <v>pm</v>
      </c>
      <c r="G90" s="472" t="s">
        <v>535</v>
      </c>
      <c r="H90" s="472" t="s">
        <v>394</v>
      </c>
      <c r="I90" s="472" t="s">
        <v>536</v>
      </c>
      <c r="K90" s="473">
        <f>LOOKUP(1E+100,M90:AC90)</f>
        <v>1508.2672187375808</v>
      </c>
      <c r="M90" s="473">
        <v>1600</v>
      </c>
      <c r="O90" s="472">
        <v>1508.2672187375808</v>
      </c>
    </row>
    <row r="91" spans="1:15">
      <c r="A91" s="472">
        <v>5</v>
      </c>
      <c r="C91" s="472">
        <f>IF(E91=E90,C90+1,1)</f>
        <v>47</v>
      </c>
      <c r="D91" s="472">
        <f>IF(K91=K90,D90,C91)</f>
        <v>47</v>
      </c>
      <c r="E91" s="472">
        <f>10+VALUE(RIGHT(LEFT(G91,3),1))</f>
        <v>13</v>
      </c>
      <c r="F91" s="472" t="str">
        <f>RIGHT(G91,2) &amp; IF(A91&lt;2,"x","")</f>
        <v>pm</v>
      </c>
      <c r="G91" s="472" t="s">
        <v>561</v>
      </c>
      <c r="H91" s="472" t="s">
        <v>337</v>
      </c>
      <c r="I91" s="472" t="s">
        <v>562</v>
      </c>
      <c r="K91" s="473">
        <f>LOOKUP(1E+100,M91:AC91)</f>
        <v>1496.0605297120387</v>
      </c>
      <c r="M91" s="473">
        <v>1600</v>
      </c>
      <c r="O91" s="472">
        <v>1496.0605297120387</v>
      </c>
    </row>
    <row r="92" spans="1:15">
      <c r="A92" s="472">
        <v>3</v>
      </c>
      <c r="C92" s="472">
        <f>IF(E92=E91,C91+1,1)</f>
        <v>1</v>
      </c>
      <c r="D92" s="472">
        <f>IF(K92=K91,D91,C92)</f>
        <v>1</v>
      </c>
      <c r="E92" s="472">
        <f>10+VALUE(RIGHT(LEFT(G92,3),1))</f>
        <v>14</v>
      </c>
      <c r="F92" s="472" t="str">
        <f>RIGHT(G92,2) &amp; IF(A92&lt;2,"x","")</f>
        <v>pm</v>
      </c>
      <c r="G92" s="472" t="s">
        <v>600</v>
      </c>
      <c r="H92" s="472" t="s">
        <v>331</v>
      </c>
      <c r="I92" s="472" t="s">
        <v>601</v>
      </c>
      <c r="K92" s="473">
        <f>LOOKUP(1E+100,M92:AC92)</f>
        <v>2306.5141993458815</v>
      </c>
      <c r="M92" s="473">
        <v>2200</v>
      </c>
      <c r="N92" s="472">
        <v>2306.5141993458815</v>
      </c>
    </row>
    <row r="93" spans="1:15">
      <c r="A93" s="472">
        <v>2</v>
      </c>
      <c r="C93" s="472">
        <f>IF(E93=E92,C92+1,1)</f>
        <v>2</v>
      </c>
      <c r="D93" s="472">
        <f>IF(K93=K92,D92,C93)</f>
        <v>2</v>
      </c>
      <c r="E93" s="472">
        <f>10+VALUE(RIGHT(LEFT(G93,3),1))</f>
        <v>14</v>
      </c>
      <c r="F93" s="472" t="str">
        <f>RIGHT(G93,2) &amp; IF(A93&lt;2,"x","")</f>
        <v>pm</v>
      </c>
      <c r="G93" s="472" t="s">
        <v>585</v>
      </c>
      <c r="H93" s="472" t="s">
        <v>86</v>
      </c>
      <c r="I93" s="472" t="s">
        <v>586</v>
      </c>
      <c r="K93" s="473">
        <f>LOOKUP(1E+100,M93:AC93)</f>
        <v>2300</v>
      </c>
      <c r="M93" s="473">
        <v>2300</v>
      </c>
    </row>
    <row r="94" spans="1:15">
      <c r="A94" s="472">
        <v>2</v>
      </c>
      <c r="C94" s="472">
        <f>IF(E94=E93,C93+1,1)</f>
        <v>3</v>
      </c>
      <c r="D94" s="472">
        <f>IF(K94=K93,D93,C94)</f>
        <v>3</v>
      </c>
      <c r="E94" s="472">
        <f>10+VALUE(RIGHT(LEFT(G94,3),1))</f>
        <v>14</v>
      </c>
      <c r="F94" s="472" t="str">
        <f>RIGHT(G94,2) &amp; IF(A94&lt;2,"x","")</f>
        <v>pm</v>
      </c>
      <c r="G94" s="472" t="s">
        <v>587</v>
      </c>
      <c r="H94" s="472" t="s">
        <v>123</v>
      </c>
      <c r="I94" s="472" t="s">
        <v>588</v>
      </c>
      <c r="K94" s="473">
        <f>LOOKUP(1E+100,M94:AC94)</f>
        <v>2248.7430591333896</v>
      </c>
      <c r="M94" s="473">
        <v>2200</v>
      </c>
      <c r="N94" s="472">
        <v>2248.7430591333896</v>
      </c>
    </row>
    <row r="95" spans="1:15">
      <c r="A95" s="472">
        <v>2</v>
      </c>
      <c r="C95" s="472">
        <f>IF(E95=E94,C94+1,1)</f>
        <v>4</v>
      </c>
      <c r="D95" s="472">
        <f>IF(K95=K94,D94,C95)</f>
        <v>4</v>
      </c>
      <c r="E95" s="472">
        <f>10+VALUE(RIGHT(LEFT(G95,3),1))</f>
        <v>14</v>
      </c>
      <c r="F95" s="472" t="str">
        <f>RIGHT(G95,2) &amp; IF(A95&lt;2,"x","")</f>
        <v>pm</v>
      </c>
      <c r="G95" s="472" t="s">
        <v>596</v>
      </c>
      <c r="H95" s="472" t="s">
        <v>370</v>
      </c>
      <c r="I95" s="472" t="s">
        <v>597</v>
      </c>
      <c r="K95" s="473">
        <f>LOOKUP(1E+100,M95:AC95)</f>
        <v>2242.8082264482937</v>
      </c>
      <c r="M95" s="473">
        <v>2200</v>
      </c>
      <c r="N95" s="472">
        <v>2242.8082264482937</v>
      </c>
    </row>
    <row r="96" spans="1:15">
      <c r="A96" s="472">
        <v>6</v>
      </c>
      <c r="C96" s="472">
        <f>IF(E96=E95,C95+1,1)</f>
        <v>5</v>
      </c>
      <c r="D96" s="472">
        <f>IF(K96=K95,D95,C96)</f>
        <v>5</v>
      </c>
      <c r="E96" s="472">
        <f>10+VALUE(RIGHT(LEFT(G96,3),1))</f>
        <v>14</v>
      </c>
      <c r="F96" s="472" t="str">
        <f>RIGHT(G96,2) &amp; IF(A96&lt;2,"x","")</f>
        <v>pm</v>
      </c>
      <c r="G96" s="472" t="s">
        <v>619</v>
      </c>
      <c r="H96" s="472" t="s">
        <v>421</v>
      </c>
      <c r="I96" s="472" t="s">
        <v>620</v>
      </c>
      <c r="K96" s="473">
        <f>LOOKUP(1E+100,M96:AC96)</f>
        <v>2235.4451064009868</v>
      </c>
      <c r="M96" s="473">
        <v>2200</v>
      </c>
      <c r="N96" s="472">
        <v>2235.4451064009868</v>
      </c>
    </row>
    <row r="97" spans="1:15">
      <c r="A97" s="472">
        <v>4</v>
      </c>
      <c r="C97" s="472">
        <f>IF(E97=E96,C96+1,1)</f>
        <v>6</v>
      </c>
      <c r="D97" s="472">
        <f>IF(K97=K96,D96,C97)</f>
        <v>6</v>
      </c>
      <c r="E97" s="472">
        <f>10+VALUE(RIGHT(LEFT(G97,3),1))</f>
        <v>14</v>
      </c>
      <c r="F97" s="472" t="str">
        <f>RIGHT(G97,2) &amp; IF(A97&lt;2,"x","")</f>
        <v>pm</v>
      </c>
      <c r="G97" s="472" t="s">
        <v>602</v>
      </c>
      <c r="H97" s="472" t="s">
        <v>331</v>
      </c>
      <c r="I97" s="472" t="s">
        <v>603</v>
      </c>
      <c r="K97" s="473">
        <f>LOOKUP(1E+100,M97:AC97)</f>
        <v>2234.317086556041</v>
      </c>
      <c r="M97" s="473">
        <v>2200</v>
      </c>
      <c r="N97" s="472">
        <v>2234.317086556041</v>
      </c>
    </row>
    <row r="98" spans="1:15">
      <c r="A98" s="472">
        <v>4</v>
      </c>
      <c r="C98" s="472">
        <f>IF(E98=E97,C97+1,1)</f>
        <v>7</v>
      </c>
      <c r="D98" s="472">
        <f>IF(K98=K97,D97,C98)</f>
        <v>7</v>
      </c>
      <c r="E98" s="472">
        <f>10+VALUE(RIGHT(LEFT(G98,3),1))</f>
        <v>14</v>
      </c>
      <c r="F98" s="472" t="str">
        <f>RIGHT(G98,2) &amp; IF(A98&lt;2,"x","")</f>
        <v>pm</v>
      </c>
      <c r="G98" s="472" t="s">
        <v>617</v>
      </c>
      <c r="H98" s="472" t="s">
        <v>397</v>
      </c>
      <c r="I98" s="472" t="s">
        <v>618</v>
      </c>
      <c r="K98" s="473">
        <f>LOOKUP(1E+100,M98:AC98)</f>
        <v>2200</v>
      </c>
      <c r="M98" s="473">
        <v>2200</v>
      </c>
    </row>
    <row r="99" spans="1:15">
      <c r="A99" s="472">
        <v>2</v>
      </c>
      <c r="C99" s="472">
        <f>IF(E99=E98,C98+1,1)</f>
        <v>8</v>
      </c>
      <c r="D99" s="472">
        <f>IF(K99=K98,D98,C99)</f>
        <v>7</v>
      </c>
      <c r="E99" s="472">
        <f>10+VALUE(RIGHT(LEFT(G99,3),1))</f>
        <v>14</v>
      </c>
      <c r="F99" s="472" t="str">
        <f>RIGHT(G99,2) &amp; IF(A99&lt;2,"x","")</f>
        <v>pm</v>
      </c>
      <c r="G99" s="472" t="s">
        <v>623</v>
      </c>
      <c r="H99" s="472" t="s">
        <v>154</v>
      </c>
      <c r="I99" s="472" t="s">
        <v>624</v>
      </c>
      <c r="K99" s="473">
        <f>LOOKUP(1E+100,M99:AC99)</f>
        <v>2200</v>
      </c>
      <c r="M99" s="473">
        <v>2200</v>
      </c>
    </row>
    <row r="100" spans="1:15">
      <c r="A100" s="472">
        <v>2</v>
      </c>
      <c r="C100" s="472">
        <f>IF(E100=E99,C99+1,1)</f>
        <v>9</v>
      </c>
      <c r="D100" s="472">
        <f>IF(K100=K99,D99,C100)</f>
        <v>7</v>
      </c>
      <c r="E100" s="472">
        <f>10+VALUE(RIGHT(LEFT(G100,3),1))</f>
        <v>14</v>
      </c>
      <c r="F100" s="472" t="str">
        <f>RIGHT(G100,2) &amp; IF(A100&lt;2,"x","")</f>
        <v>pm</v>
      </c>
      <c r="G100" s="472" t="s">
        <v>625</v>
      </c>
      <c r="H100" s="472" t="s">
        <v>154</v>
      </c>
      <c r="I100" s="472" t="s">
        <v>626</v>
      </c>
      <c r="K100" s="473">
        <f>LOOKUP(1E+100,M100:AC100)</f>
        <v>2200</v>
      </c>
      <c r="M100" s="473">
        <v>2200</v>
      </c>
    </row>
    <row r="101" spans="1:15">
      <c r="A101" s="472">
        <v>2</v>
      </c>
      <c r="C101" s="472">
        <f>IF(E101=E100,C100+1,1)</f>
        <v>10</v>
      </c>
      <c r="D101" s="472">
        <f>IF(K101=K100,D100,C101)</f>
        <v>7</v>
      </c>
      <c r="E101" s="472">
        <f>10+VALUE(RIGHT(LEFT(G101,3),1))</f>
        <v>14</v>
      </c>
      <c r="F101" s="472" t="str">
        <f>RIGHT(G101,2) &amp; IF(A101&lt;2,"x","")</f>
        <v>pm</v>
      </c>
      <c r="G101" s="472" t="s">
        <v>627</v>
      </c>
      <c r="H101" s="472" t="s">
        <v>154</v>
      </c>
      <c r="I101" s="472" t="s">
        <v>628</v>
      </c>
      <c r="K101" s="473">
        <f>LOOKUP(1E+100,M101:AC101)</f>
        <v>2200</v>
      </c>
      <c r="M101" s="473">
        <v>2200</v>
      </c>
    </row>
    <row r="102" spans="1:15">
      <c r="A102" s="472">
        <v>3</v>
      </c>
      <c r="C102" s="472">
        <f>IF(E102=E101,C101+1,1)</f>
        <v>11</v>
      </c>
      <c r="D102" s="472">
        <f>IF(K102=K101,D101,C102)</f>
        <v>7</v>
      </c>
      <c r="E102" s="472">
        <f>10+VALUE(RIGHT(LEFT(G102,3),1))</f>
        <v>14</v>
      </c>
      <c r="F102" s="472" t="str">
        <f>RIGHT(G102,2) &amp; IF(A102&lt;2,"x","")</f>
        <v>pm</v>
      </c>
      <c r="G102" s="472" t="s">
        <v>639</v>
      </c>
      <c r="H102" s="472" t="s">
        <v>408</v>
      </c>
      <c r="I102" s="472" t="s">
        <v>640</v>
      </c>
      <c r="K102" s="473">
        <f>LOOKUP(1E+100,M102:AC102)</f>
        <v>2200</v>
      </c>
      <c r="M102" s="473">
        <v>2200</v>
      </c>
    </row>
    <row r="103" spans="1:15">
      <c r="A103" s="472">
        <v>4</v>
      </c>
      <c r="C103" s="472">
        <f>IF(E103=E102,C102+1,1)</f>
        <v>12</v>
      </c>
      <c r="D103" s="472">
        <f>IF(K103=K102,D102,C103)</f>
        <v>7</v>
      </c>
      <c r="E103" s="472">
        <f>10+VALUE(RIGHT(LEFT(G103,3),1))</f>
        <v>14</v>
      </c>
      <c r="F103" s="472" t="str">
        <f>RIGHT(G103,2) &amp; IF(A103&lt;2,"x","")</f>
        <v>pm</v>
      </c>
      <c r="G103" s="472" t="s">
        <v>643</v>
      </c>
      <c r="H103" s="472" t="s">
        <v>86</v>
      </c>
      <c r="I103" s="472" t="s">
        <v>644</v>
      </c>
      <c r="K103" s="473">
        <f>LOOKUP(1E+100,M103:AC103)</f>
        <v>2200</v>
      </c>
      <c r="M103" s="473">
        <v>2200</v>
      </c>
    </row>
    <row r="104" spans="1:15">
      <c r="A104" s="472">
        <v>3</v>
      </c>
      <c r="C104" s="472">
        <f>IF(E104=E103,C103+1,1)</f>
        <v>13</v>
      </c>
      <c r="D104" s="472">
        <f>IF(K104=K103,D103,C104)</f>
        <v>7</v>
      </c>
      <c r="E104" s="472">
        <f>10+VALUE(RIGHT(LEFT(G104,3),1))</f>
        <v>14</v>
      </c>
      <c r="F104" s="472" t="str">
        <f>RIGHT(G104,2) &amp; IF(A104&lt;2,"x","")</f>
        <v>pm</v>
      </c>
      <c r="G104" s="472" t="s">
        <v>658</v>
      </c>
      <c r="H104" s="472" t="s">
        <v>483</v>
      </c>
      <c r="I104" s="472" t="s">
        <v>659</v>
      </c>
      <c r="K104" s="473">
        <f>LOOKUP(1E+100,M104:AC104)</f>
        <v>2200</v>
      </c>
      <c r="M104" s="473">
        <v>2200</v>
      </c>
    </row>
    <row r="105" spans="1:15">
      <c r="A105" s="472">
        <v>4</v>
      </c>
      <c r="C105" s="472">
        <f>IF(E105=E104,C104+1,1)</f>
        <v>14</v>
      </c>
      <c r="D105" s="472">
        <f>IF(K105=K104,D104,C105)</f>
        <v>14</v>
      </c>
      <c r="E105" s="472">
        <f>10+VALUE(RIGHT(LEFT(G105,3),1))</f>
        <v>14</v>
      </c>
      <c r="F105" s="472" t="str">
        <f>RIGHT(G105,2) &amp; IF(A105&lt;2,"x","")</f>
        <v>pm</v>
      </c>
      <c r="G105" s="472" t="s">
        <v>604</v>
      </c>
      <c r="H105" s="472" t="s">
        <v>331</v>
      </c>
      <c r="I105" s="472" t="s">
        <v>605</v>
      </c>
      <c r="K105" s="473">
        <f>LOOKUP(1E+100,M105:AC105)</f>
        <v>2160.6945874992289</v>
      </c>
      <c r="M105" s="473">
        <v>2200</v>
      </c>
      <c r="N105" s="472">
        <v>2160.6945874992289</v>
      </c>
    </row>
    <row r="106" spans="1:15">
      <c r="A106" s="472">
        <v>5</v>
      </c>
      <c r="C106" s="472">
        <f>IF(E106=E105,C105+1,1)</f>
        <v>15</v>
      </c>
      <c r="D106" s="472">
        <f>IF(K106=K105,D105,C106)</f>
        <v>15</v>
      </c>
      <c r="E106" s="472">
        <f>10+VALUE(RIGHT(LEFT(G106,3),1))</f>
        <v>14</v>
      </c>
      <c r="F106" s="472" t="str">
        <f>RIGHT(G106,2) &amp; IF(A106&lt;2,"x","")</f>
        <v>pm</v>
      </c>
      <c r="G106" s="472" t="s">
        <v>621</v>
      </c>
      <c r="H106" s="472" t="s">
        <v>452</v>
      </c>
      <c r="I106" s="472" t="s">
        <v>622</v>
      </c>
      <c r="K106" s="473">
        <f>LOOKUP(1E+100,M106:AC106)</f>
        <v>2158.7277915153195</v>
      </c>
      <c r="M106" s="473">
        <v>2200</v>
      </c>
      <c r="N106" s="472">
        <v>2158.7277915153195</v>
      </c>
    </row>
    <row r="107" spans="1:15">
      <c r="A107" s="472">
        <v>4</v>
      </c>
      <c r="C107" s="472">
        <f>IF(E107=E106,C106+1,1)</f>
        <v>16</v>
      </c>
      <c r="D107" s="472">
        <f>IF(K107=K106,D106,C107)</f>
        <v>16</v>
      </c>
      <c r="E107" s="472">
        <f>10+VALUE(RIGHT(LEFT(G107,3),1))</f>
        <v>14</v>
      </c>
      <c r="F107" s="472" t="str">
        <f>RIGHT(G107,2) &amp; IF(A107&lt;2,"x","")</f>
        <v>pm</v>
      </c>
      <c r="G107" s="472" t="s">
        <v>653</v>
      </c>
      <c r="H107" s="472" t="s">
        <v>654</v>
      </c>
      <c r="I107" s="472" t="s">
        <v>655</v>
      </c>
      <c r="K107" s="473">
        <f>LOOKUP(1E+100,M107:AC107)</f>
        <v>2154.4080062376902</v>
      </c>
      <c r="M107" s="473">
        <v>2200</v>
      </c>
      <c r="N107" s="472">
        <v>2154.4080062376902</v>
      </c>
    </row>
    <row r="108" spans="1:15">
      <c r="A108" s="472">
        <v>4</v>
      </c>
      <c r="C108" s="472">
        <f>IF(E108=E107,C107+1,1)</f>
        <v>17</v>
      </c>
      <c r="D108" s="472">
        <f>IF(K108=K107,D107,C108)</f>
        <v>17</v>
      </c>
      <c r="E108" s="472">
        <f>10+VALUE(RIGHT(LEFT(G108,3),1))</f>
        <v>14</v>
      </c>
      <c r="F108" s="472" t="str">
        <f>RIGHT(G108,2) &amp; IF(A108&lt;2,"x","")</f>
        <v>pm</v>
      </c>
      <c r="G108" s="472" t="s">
        <v>660</v>
      </c>
      <c r="H108" s="472" t="s">
        <v>92</v>
      </c>
      <c r="I108" s="472" t="s">
        <v>661</v>
      </c>
      <c r="K108" s="473">
        <f>LOOKUP(1E+100,M108:AC108)</f>
        <v>2150</v>
      </c>
      <c r="M108" s="473">
        <v>2150</v>
      </c>
    </row>
    <row r="109" spans="1:15">
      <c r="A109" s="472">
        <v>2</v>
      </c>
      <c r="C109" s="472">
        <f>IF(E109=E108,C108+1,1)</f>
        <v>18</v>
      </c>
      <c r="D109" s="472">
        <f>IF(K109=K108,D108,C109)</f>
        <v>18</v>
      </c>
      <c r="E109" s="472">
        <f>10+VALUE(RIGHT(LEFT(G109,3),1))</f>
        <v>14</v>
      </c>
      <c r="F109" s="472" t="str">
        <f>RIGHT(G109,2) &amp; IF(A109&lt;2,"x","")</f>
        <v>pm</v>
      </c>
      <c r="G109" s="472" t="s">
        <v>598</v>
      </c>
      <c r="H109" s="472" t="s">
        <v>370</v>
      </c>
      <c r="I109" s="472" t="s">
        <v>599</v>
      </c>
      <c r="K109" s="473">
        <f>LOOKUP(1E+100,M109:AC109)</f>
        <v>2148.0572046490697</v>
      </c>
      <c r="M109" s="473">
        <v>2200</v>
      </c>
      <c r="N109" s="472">
        <v>2148.0572046490697</v>
      </c>
    </row>
    <row r="110" spans="1:15">
      <c r="A110" s="472">
        <v>6</v>
      </c>
      <c r="C110" s="472">
        <f>IF(E110=E109,C109+1,1)</f>
        <v>19</v>
      </c>
      <c r="D110" s="472">
        <f>IF(K110=K109,D109,C110)</f>
        <v>19</v>
      </c>
      <c r="E110" s="472">
        <f>10+VALUE(RIGHT(LEFT(G110,3),1))</f>
        <v>14</v>
      </c>
      <c r="F110" s="472" t="str">
        <f>RIGHT(G110,2) &amp; IF(A110&lt;2,"x","")</f>
        <v>pm</v>
      </c>
      <c r="G110" s="472" t="s">
        <v>606</v>
      </c>
      <c r="H110" s="472" t="s">
        <v>386</v>
      </c>
      <c r="I110" s="472" t="s">
        <v>607</v>
      </c>
      <c r="K110" s="473">
        <f>LOOKUP(1E+100,M110:AC110)</f>
        <v>2142.6540778770523</v>
      </c>
      <c r="M110" s="473">
        <v>2200</v>
      </c>
      <c r="N110" s="472">
        <v>2142.6540778770523</v>
      </c>
    </row>
    <row r="111" spans="1:15">
      <c r="A111" s="472">
        <v>5</v>
      </c>
      <c r="C111" s="472">
        <f>IF(E111=E110,C110+1,1)</f>
        <v>20</v>
      </c>
      <c r="D111" s="472">
        <f>IF(K111=K110,D110,C111)</f>
        <v>20</v>
      </c>
      <c r="E111" s="472">
        <f>10+VALUE(RIGHT(LEFT(G111,3),1))</f>
        <v>14</v>
      </c>
      <c r="F111" s="472" t="str">
        <f>RIGHT(G111,2) &amp; IF(A111&lt;2,"x","")</f>
        <v>pm</v>
      </c>
      <c r="G111" s="472" t="s">
        <v>670</v>
      </c>
      <c r="H111" s="472" t="s">
        <v>671</v>
      </c>
      <c r="I111" s="472" t="s">
        <v>672</v>
      </c>
      <c r="K111" s="473">
        <f>LOOKUP(1E+100,M111:AC111)</f>
        <v>2101.1206501618371</v>
      </c>
      <c r="M111" s="473">
        <v>2040</v>
      </c>
      <c r="O111" s="472">
        <v>2101.1206501618371</v>
      </c>
    </row>
    <row r="112" spans="1:15">
      <c r="A112" s="472">
        <v>4</v>
      </c>
      <c r="C112" s="472">
        <f>IF(E112=E111,C111+1,1)</f>
        <v>21</v>
      </c>
      <c r="D112" s="472">
        <f>IF(K112=K111,D111,C112)</f>
        <v>21</v>
      </c>
      <c r="E112" s="472">
        <f>10+VALUE(RIGHT(LEFT(G112,3),1))</f>
        <v>14</v>
      </c>
      <c r="F112" s="472" t="str">
        <f>RIGHT(G112,2) &amp; IF(A112&lt;2,"x","")</f>
        <v>pm</v>
      </c>
      <c r="G112" s="472" t="s">
        <v>664</v>
      </c>
      <c r="H112" s="472" t="s">
        <v>92</v>
      </c>
      <c r="I112" s="472" t="s">
        <v>665</v>
      </c>
      <c r="K112" s="473">
        <f>LOOKUP(1E+100,M112:AC112)</f>
        <v>2100</v>
      </c>
      <c r="M112" s="473">
        <v>2100</v>
      </c>
    </row>
    <row r="113" spans="1:15">
      <c r="A113" s="472">
        <v>3</v>
      </c>
      <c r="C113" s="472">
        <f>IF(E113=E112,C112+1,1)</f>
        <v>22</v>
      </c>
      <c r="D113" s="472">
        <f>IF(K113=K112,D112,C113)</f>
        <v>22</v>
      </c>
      <c r="E113" s="472">
        <f>10+VALUE(RIGHT(LEFT(G113,3),1))</f>
        <v>14</v>
      </c>
      <c r="F113" s="472" t="str">
        <f>RIGHT(G113,2) &amp; IF(A113&lt;2,"x","")</f>
        <v>pm</v>
      </c>
      <c r="G113" s="472" t="s">
        <v>637</v>
      </c>
      <c r="H113" s="472" t="s">
        <v>501</v>
      </c>
      <c r="I113" s="472" t="s">
        <v>638</v>
      </c>
      <c r="K113" s="473">
        <f>LOOKUP(1E+100,M113:AC113)</f>
        <v>2089.6484920282369</v>
      </c>
      <c r="M113" s="473">
        <v>2200</v>
      </c>
      <c r="N113" s="472">
        <v>2089.6484920282369</v>
      </c>
    </row>
    <row r="114" spans="1:15">
      <c r="A114" s="472">
        <v>7</v>
      </c>
      <c r="C114" s="472">
        <f>IF(E114=E113,C113+1,1)</f>
        <v>23</v>
      </c>
      <c r="D114" s="472">
        <f>IF(K114=K113,D113,C114)</f>
        <v>23</v>
      </c>
      <c r="E114" s="472">
        <f>10+VALUE(RIGHT(LEFT(G114,3),1))</f>
        <v>14</v>
      </c>
      <c r="F114" s="472" t="str">
        <f>RIGHT(G114,2) &amp; IF(A114&lt;2,"x","")</f>
        <v>pm</v>
      </c>
      <c r="G114" s="472" t="s">
        <v>641</v>
      </c>
      <c r="H114" s="472" t="s">
        <v>411</v>
      </c>
      <c r="I114" s="472" t="s">
        <v>642</v>
      </c>
      <c r="K114" s="473">
        <f>LOOKUP(1E+100,M114:AC114)</f>
        <v>2083.9994997349372</v>
      </c>
      <c r="M114" s="473">
        <v>2200</v>
      </c>
      <c r="N114" s="472">
        <v>2083.9994997349372</v>
      </c>
    </row>
    <row r="115" spans="1:15">
      <c r="A115" s="472">
        <v>3</v>
      </c>
      <c r="C115" s="472">
        <f>IF(E115=E114,C114+1,1)</f>
        <v>24</v>
      </c>
      <c r="D115" s="472">
        <f>IF(K115=K114,D114,C115)</f>
        <v>24</v>
      </c>
      <c r="E115" s="472">
        <f>10+VALUE(RIGHT(LEFT(G115,3),1))</f>
        <v>14</v>
      </c>
      <c r="F115" s="472" t="str">
        <f>RIGHT(G115,2) &amp; IF(A115&lt;2,"x","")</f>
        <v>pm</v>
      </c>
      <c r="G115" s="472" t="s">
        <v>668</v>
      </c>
      <c r="H115" s="472" t="s">
        <v>564</v>
      </c>
      <c r="I115" s="472" t="s">
        <v>669</v>
      </c>
      <c r="K115" s="473">
        <f>LOOKUP(1E+100,M115:AC115)</f>
        <v>2073.7324729018796</v>
      </c>
      <c r="M115" s="473">
        <v>2066.6666666666665</v>
      </c>
      <c r="N115" s="472">
        <v>2073.7324729018796</v>
      </c>
    </row>
    <row r="116" spans="1:15">
      <c r="A116" s="472">
        <v>3</v>
      </c>
      <c r="C116" s="472">
        <f>IF(E116=E115,C115+1,1)</f>
        <v>25</v>
      </c>
      <c r="D116" s="472">
        <f>IF(K116=K115,D115,C116)</f>
        <v>25</v>
      </c>
      <c r="E116" s="472">
        <f>10+VALUE(RIGHT(LEFT(G116,3),1))</f>
        <v>14</v>
      </c>
      <c r="F116" s="472" t="str">
        <f>RIGHT(G116,2) &amp; IF(A116&lt;2,"x","")</f>
        <v>pm</v>
      </c>
      <c r="G116" s="472" t="s">
        <v>666</v>
      </c>
      <c r="H116" s="472" t="s">
        <v>540</v>
      </c>
      <c r="I116" s="472" t="s">
        <v>667</v>
      </c>
      <c r="K116" s="473">
        <f>LOOKUP(1E+100,M116:AC116)</f>
        <v>2066.6666666666665</v>
      </c>
      <c r="M116" s="473">
        <v>2066.6666666666665</v>
      </c>
    </row>
    <row r="117" spans="1:15">
      <c r="A117" s="472">
        <v>6</v>
      </c>
      <c r="C117" s="472">
        <f>IF(E117=E116,C116+1,1)</f>
        <v>26</v>
      </c>
      <c r="D117" s="472">
        <f>IF(K117=K116,D116,C117)</f>
        <v>26</v>
      </c>
      <c r="E117" s="472">
        <f>10+VALUE(RIGHT(LEFT(G117,3),1))</f>
        <v>14</v>
      </c>
      <c r="F117" s="472" t="str">
        <f>RIGHT(G117,2) &amp; IF(A117&lt;2,"x","")</f>
        <v>pm</v>
      </c>
      <c r="G117" s="472" t="s">
        <v>662</v>
      </c>
      <c r="H117" s="472" t="s">
        <v>512</v>
      </c>
      <c r="I117" s="472" t="s">
        <v>663</v>
      </c>
      <c r="K117" s="473">
        <f>LOOKUP(1E+100,M117:AC117)</f>
        <v>2016.8195230308613</v>
      </c>
      <c r="M117" s="473">
        <v>2133.3333333333335</v>
      </c>
      <c r="N117" s="472">
        <v>2016.8195230308613</v>
      </c>
    </row>
    <row r="118" spans="1:15">
      <c r="A118" s="472">
        <v>5</v>
      </c>
      <c r="C118" s="472">
        <f>IF(E118=E117,C117+1,1)</f>
        <v>27</v>
      </c>
      <c r="D118" s="472">
        <f>IF(K118=K117,D117,C118)</f>
        <v>27</v>
      </c>
      <c r="E118" s="472">
        <f>10+VALUE(RIGHT(LEFT(G118,3),1))</f>
        <v>14</v>
      </c>
      <c r="F118" s="472" t="str">
        <f>RIGHT(G118,2) &amp; IF(A118&lt;2,"x","")</f>
        <v>pm</v>
      </c>
      <c r="G118" s="472" t="s">
        <v>710</v>
      </c>
      <c r="H118" s="472" t="s">
        <v>301</v>
      </c>
      <c r="I118" s="472" t="s">
        <v>711</v>
      </c>
      <c r="K118" s="473">
        <f>LOOKUP(1E+100,M118:AC118)</f>
        <v>1911.387679095757</v>
      </c>
      <c r="M118" s="473">
        <v>1800</v>
      </c>
      <c r="O118" s="472">
        <v>1911.387679095757</v>
      </c>
    </row>
    <row r="119" spans="1:15">
      <c r="A119" s="472">
        <v>3</v>
      </c>
      <c r="C119" s="472">
        <f>IF(E119=E118,C118+1,1)</f>
        <v>28</v>
      </c>
      <c r="D119" s="472">
        <f>IF(K119=K118,D118,C119)</f>
        <v>28</v>
      </c>
      <c r="E119" s="472">
        <f>10+VALUE(RIGHT(LEFT(G119,3),1))</f>
        <v>14</v>
      </c>
      <c r="F119" s="472" t="str">
        <f>RIGHT(G119,2) &amp; IF(A119&lt;2,"x","")</f>
        <v>pm</v>
      </c>
      <c r="G119" s="472" t="s">
        <v>698</v>
      </c>
      <c r="H119" s="472" t="s">
        <v>331</v>
      </c>
      <c r="I119" s="472" t="s">
        <v>699</v>
      </c>
      <c r="K119" s="473">
        <f>LOOKUP(1E+100,M119:AC119)</f>
        <v>1895.9189920873694</v>
      </c>
      <c r="M119" s="473">
        <v>1800</v>
      </c>
      <c r="O119" s="472">
        <v>1895.9189920873694</v>
      </c>
    </row>
    <row r="120" spans="1:15">
      <c r="A120" s="472">
        <v>5</v>
      </c>
      <c r="C120" s="472">
        <f>IF(E120=E119,C119+1,1)</f>
        <v>29</v>
      </c>
      <c r="D120" s="472">
        <f>IF(K120=K119,D119,C120)</f>
        <v>29</v>
      </c>
      <c r="E120" s="472">
        <f>10+VALUE(RIGHT(LEFT(G120,3),1))</f>
        <v>14</v>
      </c>
      <c r="F120" s="472" t="str">
        <f>RIGHT(G120,2) &amp; IF(A120&lt;2,"x","")</f>
        <v>pm</v>
      </c>
      <c r="G120" s="472" t="s">
        <v>673</v>
      </c>
      <c r="H120" s="472" t="s">
        <v>337</v>
      </c>
      <c r="I120" s="472" t="s">
        <v>674</v>
      </c>
      <c r="K120" s="473">
        <f>LOOKUP(1E+100,M120:AC120)</f>
        <v>1886.14355440141</v>
      </c>
      <c r="M120" s="473">
        <v>1960</v>
      </c>
      <c r="O120" s="472">
        <v>1886.14355440141</v>
      </c>
    </row>
    <row r="121" spans="1:15">
      <c r="A121" s="472">
        <v>3</v>
      </c>
      <c r="C121" s="472">
        <f>IF(E121=E120,C120+1,1)</f>
        <v>30</v>
      </c>
      <c r="D121" s="472">
        <f>IF(K121=K120,D120,C121)</f>
        <v>30</v>
      </c>
      <c r="E121" s="472">
        <f>10+VALUE(RIGHT(LEFT(G121,3),1))</f>
        <v>14</v>
      </c>
      <c r="F121" s="472" t="str">
        <f>RIGHT(G121,2) &amp; IF(A121&lt;2,"x","")</f>
        <v>pm</v>
      </c>
      <c r="G121" s="472" t="s">
        <v>696</v>
      </c>
      <c r="H121" s="472" t="s">
        <v>331</v>
      </c>
      <c r="I121" s="472" t="s">
        <v>697</v>
      </c>
      <c r="K121" s="473">
        <f>LOOKUP(1E+100,M121:AC121)</f>
        <v>1885.5426436017462</v>
      </c>
      <c r="M121" s="473">
        <v>1800</v>
      </c>
      <c r="O121" s="472">
        <v>1885.5426436017462</v>
      </c>
    </row>
    <row r="122" spans="1:15">
      <c r="A122" s="472">
        <v>5</v>
      </c>
      <c r="C122" s="472">
        <f>IF(E122=E121,C121+1,1)</f>
        <v>31</v>
      </c>
      <c r="D122" s="472">
        <f>IF(K122=K121,D121,C122)</f>
        <v>31</v>
      </c>
      <c r="E122" s="472">
        <f>10+VALUE(RIGHT(LEFT(G122,3),1))</f>
        <v>14</v>
      </c>
      <c r="F122" s="472" t="str">
        <f>RIGHT(G122,2) &amp; IF(A122&lt;2,"x","")</f>
        <v>pm</v>
      </c>
      <c r="G122" s="472" t="s">
        <v>680</v>
      </c>
      <c r="H122" s="472" t="s">
        <v>671</v>
      </c>
      <c r="I122" s="472" t="s">
        <v>681</v>
      </c>
      <c r="K122" s="473">
        <f>LOOKUP(1E+100,M122:AC122)</f>
        <v>1878.0109264586404</v>
      </c>
      <c r="M122" s="473">
        <v>1800</v>
      </c>
      <c r="O122" s="472">
        <v>1878.0109264586404</v>
      </c>
    </row>
    <row r="123" spans="1:15">
      <c r="A123" s="472">
        <v>4</v>
      </c>
      <c r="C123" s="472">
        <f>IF(E123=E122,C122+1,1)</f>
        <v>32</v>
      </c>
      <c r="D123" s="472">
        <f>IF(K123=K122,D122,C123)</f>
        <v>32</v>
      </c>
      <c r="E123" s="472">
        <f>10+VALUE(RIGHT(LEFT(G123,3),1))</f>
        <v>14</v>
      </c>
      <c r="F123" s="472" t="str">
        <f>RIGHT(G123,2) &amp; IF(A123&lt;2,"x","")</f>
        <v>pm</v>
      </c>
      <c r="G123" s="472" t="s">
        <v>691</v>
      </c>
      <c r="H123" s="472" t="s">
        <v>370</v>
      </c>
      <c r="I123" s="472" t="s">
        <v>692</v>
      </c>
      <c r="K123" s="473">
        <f>LOOKUP(1E+100,M123:AC123)</f>
        <v>1831.2865495431645</v>
      </c>
      <c r="M123" s="473">
        <v>1800</v>
      </c>
      <c r="O123" s="472">
        <v>1831.2865495431645</v>
      </c>
    </row>
    <row r="124" spans="1:15">
      <c r="A124" s="472">
        <v>6</v>
      </c>
      <c r="C124" s="472">
        <f>IF(E124=E123,C123+1,1)</f>
        <v>33</v>
      </c>
      <c r="D124" s="472">
        <f>IF(K124=K123,D123,C124)</f>
        <v>33</v>
      </c>
      <c r="E124" s="472">
        <f>10+VALUE(RIGHT(LEFT(G124,3),1))</f>
        <v>14</v>
      </c>
      <c r="F124" s="472" t="str">
        <f>RIGHT(G124,2) &amp; IF(A124&lt;2,"x","")</f>
        <v>pm</v>
      </c>
      <c r="G124" s="472" t="s">
        <v>704</v>
      </c>
      <c r="H124" s="472" t="s">
        <v>386</v>
      </c>
      <c r="I124" s="472" t="s">
        <v>705</v>
      </c>
      <c r="K124" s="473">
        <f>LOOKUP(1E+100,M124:AC124)</f>
        <v>1829.1348721235647</v>
      </c>
      <c r="M124" s="473">
        <v>1800</v>
      </c>
      <c r="O124" s="472">
        <v>1829.1348721235647</v>
      </c>
    </row>
    <row r="125" spans="1:15">
      <c r="A125" s="472">
        <v>3</v>
      </c>
      <c r="C125" s="472">
        <f>IF(E125=E124,C124+1,1)</f>
        <v>34</v>
      </c>
      <c r="D125" s="472">
        <f>IF(K125=K124,D124,C125)</f>
        <v>34</v>
      </c>
      <c r="E125" s="472">
        <f>10+VALUE(RIGHT(LEFT(G125,3),1))</f>
        <v>14</v>
      </c>
      <c r="F125" s="472" t="str">
        <f>RIGHT(G125,2) &amp; IF(A125&lt;2,"x","")</f>
        <v>pm</v>
      </c>
      <c r="G125" s="472" t="s">
        <v>702</v>
      </c>
      <c r="H125" s="472" t="s">
        <v>331</v>
      </c>
      <c r="I125" s="472" t="s">
        <v>703</v>
      </c>
      <c r="K125" s="473">
        <f>LOOKUP(1E+100,M125:AC125)</f>
        <v>1800</v>
      </c>
      <c r="M125" s="473">
        <v>1800</v>
      </c>
    </row>
    <row r="126" spans="1:15">
      <c r="A126" s="472">
        <v>2</v>
      </c>
      <c r="C126" s="472">
        <f>IF(E126=E125,C125+1,1)</f>
        <v>35</v>
      </c>
      <c r="D126" s="472">
        <f>IF(K126=K125,D125,C126)</f>
        <v>34</v>
      </c>
      <c r="E126" s="472">
        <f>10+VALUE(RIGHT(LEFT(G126,3),1))</f>
        <v>14</v>
      </c>
      <c r="F126" s="472" t="str">
        <f>RIGHT(G126,2) &amp; IF(A126&lt;2,"x","")</f>
        <v>pm</v>
      </c>
      <c r="G126" s="472" t="s">
        <v>712</v>
      </c>
      <c r="H126" s="472" t="s">
        <v>92</v>
      </c>
      <c r="I126" s="472" t="s">
        <v>713</v>
      </c>
      <c r="K126" s="473">
        <f>LOOKUP(1E+100,M126:AC126)</f>
        <v>1800</v>
      </c>
      <c r="M126" s="473">
        <v>1800</v>
      </c>
    </row>
    <row r="127" spans="1:15">
      <c r="A127" s="472">
        <v>4</v>
      </c>
      <c r="C127" s="472">
        <f>IF(E127=E126,C126+1,1)</f>
        <v>36</v>
      </c>
      <c r="D127" s="472">
        <f>IF(K127=K126,D126,C127)</f>
        <v>34</v>
      </c>
      <c r="E127" s="472">
        <f>10+VALUE(RIGHT(LEFT(G127,3),1))</f>
        <v>14</v>
      </c>
      <c r="F127" s="472" t="str">
        <f>RIGHT(G127,2) &amp; IF(A127&lt;2,"x","")</f>
        <v>pm</v>
      </c>
      <c r="G127" s="472" t="s">
        <v>714</v>
      </c>
      <c r="H127" s="472" t="s">
        <v>397</v>
      </c>
      <c r="I127" s="472" t="s">
        <v>715</v>
      </c>
      <c r="K127" s="473">
        <f>LOOKUP(1E+100,M127:AC127)</f>
        <v>1800</v>
      </c>
      <c r="M127" s="473">
        <v>1800</v>
      </c>
    </row>
    <row r="128" spans="1:15">
      <c r="A128" s="472">
        <v>2</v>
      </c>
      <c r="C128" s="472">
        <f>IF(E128=E127,C127+1,1)</f>
        <v>37</v>
      </c>
      <c r="D128" s="472">
        <f>IF(K128=K127,D127,C128)</f>
        <v>34</v>
      </c>
      <c r="E128" s="472">
        <f>10+VALUE(RIGHT(LEFT(G128,3),1))</f>
        <v>14</v>
      </c>
      <c r="F128" s="472" t="str">
        <f>RIGHT(G128,2) &amp; IF(A128&lt;2,"x","")</f>
        <v>pm</v>
      </c>
      <c r="G128" s="472" t="s">
        <v>720</v>
      </c>
      <c r="H128" s="472" t="s">
        <v>154</v>
      </c>
      <c r="I128" s="472" t="s">
        <v>721</v>
      </c>
      <c r="K128" s="473">
        <f>LOOKUP(1E+100,M128:AC128)</f>
        <v>1800</v>
      </c>
      <c r="M128" s="473">
        <v>1800</v>
      </c>
    </row>
    <row r="129" spans="1:15">
      <c r="A129" s="472">
        <v>2</v>
      </c>
      <c r="C129" s="472">
        <f>IF(E129=E128,C128+1,1)</f>
        <v>38</v>
      </c>
      <c r="D129" s="472">
        <f>IF(K129=K128,D128,C129)</f>
        <v>34</v>
      </c>
      <c r="E129" s="472">
        <f>10+VALUE(RIGHT(LEFT(G129,3),1))</f>
        <v>14</v>
      </c>
      <c r="F129" s="472" t="str">
        <f>RIGHT(G129,2) &amp; IF(A129&lt;2,"x","")</f>
        <v>pm</v>
      </c>
      <c r="G129" s="472" t="s">
        <v>722</v>
      </c>
      <c r="H129" s="472" t="s">
        <v>154</v>
      </c>
      <c r="I129" s="472" t="s">
        <v>723</v>
      </c>
      <c r="K129" s="473">
        <f>LOOKUP(1E+100,M129:AC129)</f>
        <v>1800</v>
      </c>
      <c r="M129" s="473">
        <v>1800</v>
      </c>
    </row>
    <row r="130" spans="1:15">
      <c r="A130" s="472">
        <v>2</v>
      </c>
      <c r="C130" s="472">
        <f>IF(E130=E129,C129+1,1)</f>
        <v>39</v>
      </c>
      <c r="D130" s="472">
        <f>IF(K130=K129,D129,C130)</f>
        <v>34</v>
      </c>
      <c r="E130" s="472">
        <f>10+VALUE(RIGHT(LEFT(G130,3),1))</f>
        <v>14</v>
      </c>
      <c r="F130" s="472" t="str">
        <f>RIGHT(G130,2) &amp; IF(A130&lt;2,"x","")</f>
        <v>pm</v>
      </c>
      <c r="G130" s="472" t="s">
        <v>724</v>
      </c>
      <c r="H130" s="472" t="s">
        <v>154</v>
      </c>
      <c r="I130" s="472" t="s">
        <v>725</v>
      </c>
      <c r="K130" s="473">
        <f>LOOKUP(1E+100,M130:AC130)</f>
        <v>1800</v>
      </c>
      <c r="M130" s="473">
        <v>1800</v>
      </c>
    </row>
    <row r="131" spans="1:15">
      <c r="A131" s="472">
        <v>2</v>
      </c>
      <c r="C131" s="472">
        <f>IF(E131=E130,C130+1,1)</f>
        <v>40</v>
      </c>
      <c r="D131" s="472">
        <f>IF(K131=K130,D130,C131)</f>
        <v>34</v>
      </c>
      <c r="E131" s="472">
        <f>10+VALUE(RIGHT(LEFT(G131,3),1))</f>
        <v>14</v>
      </c>
      <c r="F131" s="472" t="str">
        <f>RIGHT(G131,2) &amp; IF(A131&lt;2,"x","")</f>
        <v>pm</v>
      </c>
      <c r="G131" s="472" t="s">
        <v>726</v>
      </c>
      <c r="H131" s="472" t="s">
        <v>154</v>
      </c>
      <c r="I131" s="472" t="s">
        <v>727</v>
      </c>
      <c r="K131" s="473">
        <f>LOOKUP(1E+100,M131:AC131)</f>
        <v>1800</v>
      </c>
      <c r="M131" s="473">
        <v>1800</v>
      </c>
    </row>
    <row r="132" spans="1:15">
      <c r="A132" s="472">
        <v>2</v>
      </c>
      <c r="C132" s="472">
        <f>IF(E132=E131,C131+1,1)</f>
        <v>41</v>
      </c>
      <c r="D132" s="472">
        <f>IF(K132=K131,D131,C132)</f>
        <v>34</v>
      </c>
      <c r="E132" s="472">
        <f>10+VALUE(RIGHT(LEFT(G132,3),1))</f>
        <v>14</v>
      </c>
      <c r="F132" s="472" t="str">
        <f>RIGHT(G132,2) &amp; IF(A132&lt;2,"x","")</f>
        <v>pm</v>
      </c>
      <c r="G132" s="472" t="s">
        <v>728</v>
      </c>
      <c r="H132" s="472" t="s">
        <v>154</v>
      </c>
      <c r="I132" s="472" t="s">
        <v>729</v>
      </c>
      <c r="K132" s="473">
        <f>LOOKUP(1E+100,M132:AC132)</f>
        <v>1800</v>
      </c>
      <c r="M132" s="473">
        <v>1800</v>
      </c>
    </row>
    <row r="133" spans="1:15">
      <c r="A133" s="472">
        <v>2</v>
      </c>
      <c r="C133" s="472">
        <f>IF(E133=E132,C132+1,1)</f>
        <v>42</v>
      </c>
      <c r="D133" s="472">
        <f>IF(K133=K132,D132,C133)</f>
        <v>34</v>
      </c>
      <c r="E133" s="472">
        <f>10+VALUE(RIGHT(LEFT(G133,3),1))</f>
        <v>14</v>
      </c>
      <c r="F133" s="472" t="str">
        <f>RIGHT(G133,2) &amp; IF(A133&lt;2,"x","")</f>
        <v>pm</v>
      </c>
      <c r="G133" s="472" t="s">
        <v>730</v>
      </c>
      <c r="H133" s="472" t="s">
        <v>154</v>
      </c>
      <c r="I133" s="472" t="s">
        <v>731</v>
      </c>
      <c r="K133" s="473">
        <f>LOOKUP(1E+100,M133:AC133)</f>
        <v>1800</v>
      </c>
      <c r="M133" s="473">
        <v>1800</v>
      </c>
    </row>
    <row r="134" spans="1:15">
      <c r="A134" s="472">
        <v>5</v>
      </c>
      <c r="C134" s="472">
        <f>IF(E134=E133,C133+1,1)</f>
        <v>43</v>
      </c>
      <c r="D134" s="472">
        <f>IF(K134=K133,D133,C134)</f>
        <v>34</v>
      </c>
      <c r="E134" s="472">
        <f>10+VALUE(RIGHT(LEFT(G134,3),1))</f>
        <v>14</v>
      </c>
      <c r="F134" s="472" t="str">
        <f>RIGHT(G134,2) &amp; IF(A134&lt;2,"x","")</f>
        <v>pm</v>
      </c>
      <c r="G134" s="472" t="s">
        <v>740</v>
      </c>
      <c r="H134" s="472" t="s">
        <v>86</v>
      </c>
      <c r="I134" s="472" t="s">
        <v>741</v>
      </c>
      <c r="K134" s="473">
        <f>LOOKUP(1E+100,M134:AC134)</f>
        <v>1800</v>
      </c>
      <c r="M134" s="473">
        <v>1800</v>
      </c>
    </row>
    <row r="135" spans="1:15">
      <c r="A135" s="472">
        <v>5</v>
      </c>
      <c r="C135" s="472">
        <f>IF(E135=E134,C134+1,1)</f>
        <v>44</v>
      </c>
      <c r="D135" s="472">
        <f>IF(K135=K134,D134,C135)</f>
        <v>34</v>
      </c>
      <c r="E135" s="472">
        <f>10+VALUE(RIGHT(LEFT(G135,3),1))</f>
        <v>14</v>
      </c>
      <c r="F135" s="472" t="str">
        <f>RIGHT(G135,2) &amp; IF(A135&lt;2,"x","")</f>
        <v>pm</v>
      </c>
      <c r="G135" s="472" t="s">
        <v>742</v>
      </c>
      <c r="H135" s="472" t="s">
        <v>86</v>
      </c>
      <c r="I135" s="472" t="s">
        <v>743</v>
      </c>
      <c r="K135" s="473">
        <f>LOOKUP(1E+100,M135:AC135)</f>
        <v>1800</v>
      </c>
      <c r="M135" s="473">
        <v>1800</v>
      </c>
    </row>
    <row r="136" spans="1:15">
      <c r="A136" s="472">
        <v>5</v>
      </c>
      <c r="C136" s="472">
        <f>IF(E136=E135,C135+1,1)</f>
        <v>45</v>
      </c>
      <c r="D136" s="472">
        <f>IF(K136=K135,D135,C136)</f>
        <v>34</v>
      </c>
      <c r="E136" s="472">
        <f>10+VALUE(RIGHT(LEFT(G136,3),1))</f>
        <v>14</v>
      </c>
      <c r="F136" s="472" t="str">
        <f>RIGHT(G136,2) &amp; IF(A136&lt;2,"x","")</f>
        <v>pm</v>
      </c>
      <c r="G136" s="472" t="s">
        <v>751</v>
      </c>
      <c r="H136" s="472" t="s">
        <v>579</v>
      </c>
      <c r="I136" s="472" t="s">
        <v>752</v>
      </c>
      <c r="K136" s="473">
        <f>LOOKUP(1E+100,M136:AC136)</f>
        <v>1800</v>
      </c>
      <c r="M136" s="473">
        <v>1800</v>
      </c>
    </row>
    <row r="137" spans="1:15">
      <c r="A137" s="472">
        <v>4</v>
      </c>
      <c r="C137" s="472">
        <f>IF(E137=E136,C136+1,1)</f>
        <v>46</v>
      </c>
      <c r="D137" s="472">
        <f>IF(K137=K136,D136,C137)</f>
        <v>34</v>
      </c>
      <c r="E137" s="472">
        <f>10+VALUE(RIGHT(LEFT(G137,3),1))</f>
        <v>14</v>
      </c>
      <c r="F137" s="472" t="str">
        <f>RIGHT(G137,2) &amp; IF(A137&lt;2,"x","")</f>
        <v>pm</v>
      </c>
      <c r="G137" s="472" t="s">
        <v>758</v>
      </c>
      <c r="H137" s="472" t="s">
        <v>483</v>
      </c>
      <c r="I137" s="472" t="s">
        <v>759</v>
      </c>
      <c r="K137" s="473">
        <f>LOOKUP(1E+100,M137:AC137)</f>
        <v>1800</v>
      </c>
      <c r="M137" s="473">
        <v>1800</v>
      </c>
    </row>
    <row r="138" spans="1:15">
      <c r="A138" s="472">
        <v>3</v>
      </c>
      <c r="C138" s="472">
        <f>IF(E138=E137,C137+1,1)</f>
        <v>47</v>
      </c>
      <c r="D138" s="472">
        <f>IF(K138=K137,D137,C138)</f>
        <v>47</v>
      </c>
      <c r="E138" s="472">
        <f>10+VALUE(RIGHT(LEFT(G138,3),1))</f>
        <v>14</v>
      </c>
      <c r="F138" s="472" t="str">
        <f>RIGHT(G138,2) &amp; IF(A138&lt;2,"x","")</f>
        <v>pm</v>
      </c>
      <c r="G138" s="472" t="s">
        <v>700</v>
      </c>
      <c r="H138" s="472" t="s">
        <v>331</v>
      </c>
      <c r="I138" s="472" t="s">
        <v>701</v>
      </c>
      <c r="K138" s="473">
        <f>LOOKUP(1E+100,M138:AC138)</f>
        <v>1794.4809701688885</v>
      </c>
      <c r="M138" s="473">
        <v>1800</v>
      </c>
      <c r="O138" s="472">
        <v>1794.4809701688885</v>
      </c>
    </row>
    <row r="139" spans="1:15">
      <c r="A139" s="472">
        <v>4</v>
      </c>
      <c r="C139" s="472">
        <f>IF(E139=E138,C138+1,1)</f>
        <v>48</v>
      </c>
      <c r="D139" s="472">
        <f>IF(K139=K138,D138,C139)</f>
        <v>48</v>
      </c>
      <c r="E139" s="472">
        <f>10+VALUE(RIGHT(LEFT(G139,3),1))</f>
        <v>14</v>
      </c>
      <c r="F139" s="472" t="str">
        <f>RIGHT(G139,2) &amp; IF(A139&lt;2,"x","")</f>
        <v>pm</v>
      </c>
      <c r="G139" s="472" t="s">
        <v>736</v>
      </c>
      <c r="H139" s="472" t="s">
        <v>408</v>
      </c>
      <c r="I139" s="472" t="s">
        <v>737</v>
      </c>
      <c r="K139" s="473">
        <f>LOOKUP(1E+100,M139:AC139)</f>
        <v>1783.7603772733682</v>
      </c>
      <c r="M139" s="473">
        <v>1800</v>
      </c>
      <c r="O139" s="472">
        <v>1783.7603772733682</v>
      </c>
    </row>
    <row r="140" spans="1:15">
      <c r="A140" s="472">
        <v>6</v>
      </c>
      <c r="C140" s="472">
        <f>IF(E140=E139,C139+1,1)</f>
        <v>49</v>
      </c>
      <c r="D140" s="472">
        <f>IF(K140=K139,D139,C140)</f>
        <v>49</v>
      </c>
      <c r="E140" s="472">
        <f>10+VALUE(RIGHT(LEFT(G140,3),1))</f>
        <v>14</v>
      </c>
      <c r="F140" s="472" t="str">
        <f>RIGHT(G140,2) &amp; IF(A140&lt;2,"x","")</f>
        <v>pm</v>
      </c>
      <c r="G140" s="472" t="s">
        <v>716</v>
      </c>
      <c r="H140" s="472" t="s">
        <v>421</v>
      </c>
      <c r="I140" s="472" t="s">
        <v>717</v>
      </c>
      <c r="K140" s="473">
        <f>LOOKUP(1E+100,M140:AC140)</f>
        <v>1779.8327634610339</v>
      </c>
      <c r="M140" s="473">
        <v>1800</v>
      </c>
      <c r="O140" s="472">
        <v>1779.8327634610339</v>
      </c>
    </row>
    <row r="141" spans="1:15">
      <c r="A141" s="472">
        <v>4</v>
      </c>
      <c r="C141" s="472">
        <f>IF(E141=E140,C140+1,1)</f>
        <v>50</v>
      </c>
      <c r="D141" s="472">
        <f>IF(K141=K140,D140,C141)</f>
        <v>50</v>
      </c>
      <c r="E141" s="472">
        <f>10+VALUE(RIGHT(LEFT(G141,3),1))</f>
        <v>14</v>
      </c>
      <c r="F141" s="472" t="str">
        <f>RIGHT(G141,2) &amp; IF(A141&lt;2,"x","")</f>
        <v>pm</v>
      </c>
      <c r="G141" s="472" t="s">
        <v>675</v>
      </c>
      <c r="H141" s="472" t="s">
        <v>676</v>
      </c>
      <c r="I141" s="472" t="s">
        <v>677</v>
      </c>
      <c r="K141" s="473">
        <f>LOOKUP(1E+100,M141:AC141)</f>
        <v>1775.3296572886447</v>
      </c>
      <c r="M141" s="473">
        <v>1900</v>
      </c>
      <c r="O141" s="472">
        <v>1775.3296572886447</v>
      </c>
    </row>
    <row r="142" spans="1:15">
      <c r="A142" s="472">
        <v>4</v>
      </c>
      <c r="C142" s="472">
        <f>IF(E142=E141,C141+1,1)</f>
        <v>51</v>
      </c>
      <c r="D142" s="472">
        <f>IF(K142=K141,D141,C142)</f>
        <v>51</v>
      </c>
      <c r="E142" s="472">
        <f>10+VALUE(RIGHT(LEFT(G142,3),1))</f>
        <v>14</v>
      </c>
      <c r="F142" s="472" t="str">
        <f>RIGHT(G142,2) &amp; IF(A142&lt;2,"x","")</f>
        <v>pm</v>
      </c>
      <c r="G142" s="472" t="s">
        <v>678</v>
      </c>
      <c r="H142" s="472" t="s">
        <v>654</v>
      </c>
      <c r="I142" s="472" t="s">
        <v>679</v>
      </c>
      <c r="K142" s="473">
        <f>LOOKUP(1E+100,M142:AC142)</f>
        <v>1765.044575923863</v>
      </c>
      <c r="M142" s="473">
        <v>1900</v>
      </c>
      <c r="O142" s="472">
        <v>1765.044575923863</v>
      </c>
    </row>
    <row r="143" spans="1:15">
      <c r="A143" s="472">
        <v>3</v>
      </c>
      <c r="C143" s="472">
        <f>IF(E143=E142,C142+1,1)</f>
        <v>52</v>
      </c>
      <c r="D143" s="472">
        <f>IF(K143=K142,D142,C143)</f>
        <v>52</v>
      </c>
      <c r="E143" s="472">
        <f>10+VALUE(RIGHT(LEFT(G143,3),1))</f>
        <v>14</v>
      </c>
      <c r="F143" s="472" t="str">
        <f>RIGHT(G143,2) &amp; IF(A143&lt;2,"x","")</f>
        <v>pm</v>
      </c>
      <c r="G143" s="472" t="s">
        <v>732</v>
      </c>
      <c r="H143" s="472" t="s">
        <v>676</v>
      </c>
      <c r="I143" s="472" t="s">
        <v>733</v>
      </c>
      <c r="K143" s="473">
        <f>LOOKUP(1E+100,M143:AC143)</f>
        <v>1756.3397787944268</v>
      </c>
      <c r="M143" s="473">
        <v>1800</v>
      </c>
      <c r="O143" s="472">
        <v>1756.3397787944268</v>
      </c>
    </row>
    <row r="144" spans="1:15">
      <c r="A144" s="472">
        <v>7</v>
      </c>
      <c r="C144" s="472">
        <f>IF(E144=E143,C143+1,1)</f>
        <v>53</v>
      </c>
      <c r="D144" s="472">
        <f>IF(K144=K143,D143,C144)</f>
        <v>53</v>
      </c>
      <c r="E144" s="472">
        <f>10+VALUE(RIGHT(LEFT(G144,3),1))</f>
        <v>14</v>
      </c>
      <c r="F144" s="472" t="str">
        <f>RIGHT(G144,2) &amp; IF(A144&lt;2,"x","")</f>
        <v>pm</v>
      </c>
      <c r="G144" s="472" t="s">
        <v>738</v>
      </c>
      <c r="H144" s="472" t="s">
        <v>411</v>
      </c>
      <c r="I144" s="472" t="s">
        <v>739</v>
      </c>
      <c r="K144" s="473">
        <f>LOOKUP(1E+100,M144:AC144)</f>
        <v>1721.532188883278</v>
      </c>
      <c r="M144" s="473">
        <v>1800</v>
      </c>
      <c r="O144" s="472">
        <v>1721.532188883278</v>
      </c>
    </row>
    <row r="145" spans="1:15">
      <c r="A145" s="472">
        <v>5</v>
      </c>
      <c r="C145" s="472">
        <f>IF(E145=E144,C144+1,1)</f>
        <v>54</v>
      </c>
      <c r="D145" s="472">
        <f>IF(K145=K144,D144,C145)</f>
        <v>54</v>
      </c>
      <c r="E145" s="472">
        <f>10+VALUE(RIGHT(LEFT(G145,3),1))</f>
        <v>14</v>
      </c>
      <c r="F145" s="472" t="str">
        <f>RIGHT(G145,2) &amp; IF(A145&lt;2,"x","")</f>
        <v>pm</v>
      </c>
      <c r="G145" s="472" t="s">
        <v>686</v>
      </c>
      <c r="H145" s="472" t="s">
        <v>687</v>
      </c>
      <c r="I145" s="472" t="s">
        <v>688</v>
      </c>
      <c r="K145" s="473">
        <f>LOOKUP(1E+100,M145:AC145)</f>
        <v>1721.0193954660247</v>
      </c>
      <c r="M145" s="473">
        <v>1800</v>
      </c>
      <c r="O145" s="472">
        <v>1721.0193954660247</v>
      </c>
    </row>
    <row r="146" spans="1:15">
      <c r="A146" s="472">
        <v>3</v>
      </c>
      <c r="C146" s="472">
        <f>IF(E146=E145,C145+1,1)</f>
        <v>1</v>
      </c>
      <c r="D146" s="472">
        <f>IF(K146=K145,D145,C146)</f>
        <v>1</v>
      </c>
      <c r="E146" s="472">
        <f>10+VALUE(RIGHT(LEFT(G146,3),1))</f>
        <v>15</v>
      </c>
      <c r="F146" s="472" t="str">
        <f>RIGHT(G146,2) &amp; IF(A146&lt;2,"x","")</f>
        <v>pm</v>
      </c>
      <c r="G146" s="472" t="s">
        <v>762</v>
      </c>
      <c r="H146" s="472" t="s">
        <v>654</v>
      </c>
      <c r="I146" s="472" t="s">
        <v>763</v>
      </c>
      <c r="K146" s="473">
        <f>LOOKUP(1E+100,M146:AC146)</f>
        <v>2510.3448964772092</v>
      </c>
      <c r="M146" s="473">
        <v>2466.6666666666665</v>
      </c>
      <c r="N146" s="472">
        <v>2480.3644408797813</v>
      </c>
      <c r="O146" s="472">
        <v>2510.3448964772092</v>
      </c>
    </row>
    <row r="147" spans="1:15">
      <c r="A147" s="472">
        <v>2</v>
      </c>
      <c r="C147" s="472">
        <f>IF(E147=E146,C146+1,1)</f>
        <v>2</v>
      </c>
      <c r="D147" s="472">
        <f>IF(K147=K146,D146,C147)</f>
        <v>2</v>
      </c>
      <c r="E147" s="472">
        <f>10+VALUE(RIGHT(LEFT(G147,3),1))</f>
        <v>15</v>
      </c>
      <c r="F147" s="472" t="str">
        <f>RIGHT(G147,2) &amp; IF(A147&lt;2,"x","")</f>
        <v>pm</v>
      </c>
      <c r="G147" s="472" t="s">
        <v>760</v>
      </c>
      <c r="H147" s="472" t="s">
        <v>86</v>
      </c>
      <c r="I147" s="472" t="s">
        <v>761</v>
      </c>
      <c r="K147" s="473">
        <f>LOOKUP(1E+100,M147:AC147)</f>
        <v>2500</v>
      </c>
      <c r="M147" s="473">
        <v>2500</v>
      </c>
    </row>
    <row r="148" spans="1:15">
      <c r="A148" s="472">
        <v>3</v>
      </c>
      <c r="C148" s="472">
        <f>IF(E148=E147,C147+1,1)</f>
        <v>3</v>
      </c>
      <c r="D148" s="472">
        <f>IF(K148=K147,D147,C148)</f>
        <v>3</v>
      </c>
      <c r="E148" s="472">
        <f>10+VALUE(RIGHT(LEFT(G148,3),1))</f>
        <v>15</v>
      </c>
      <c r="F148" s="472" t="str">
        <f>RIGHT(G148,2) &amp; IF(A148&lt;2,"x","")</f>
        <v>pm</v>
      </c>
      <c r="G148" s="472" t="s">
        <v>780</v>
      </c>
      <c r="H148" s="472" t="s">
        <v>331</v>
      </c>
      <c r="I148" s="472" t="s">
        <v>781</v>
      </c>
      <c r="K148" s="473">
        <f>LOOKUP(1E+100,M148:AC148)</f>
        <v>2499.9052143727263</v>
      </c>
      <c r="M148" s="473">
        <v>2400</v>
      </c>
      <c r="N148" s="472">
        <v>2499.9052143727263</v>
      </c>
    </row>
    <row r="149" spans="1:15">
      <c r="A149" s="472">
        <v>2</v>
      </c>
      <c r="C149" s="472">
        <f>IF(E149=E148,C148+1,1)</f>
        <v>4</v>
      </c>
      <c r="D149" s="472">
        <f>IF(K149=K148,D148,C149)</f>
        <v>4</v>
      </c>
      <c r="E149" s="472">
        <f>10+VALUE(RIGHT(LEFT(G149,3),1))</f>
        <v>15</v>
      </c>
      <c r="F149" s="472" t="str">
        <f>RIGHT(G149,2) &amp; IF(A149&lt;2,"x","")</f>
        <v>pm</v>
      </c>
      <c r="G149" s="472" t="s">
        <v>775</v>
      </c>
      <c r="H149" s="472" t="s">
        <v>370</v>
      </c>
      <c r="I149" s="472" t="s">
        <v>776</v>
      </c>
      <c r="K149" s="473">
        <f>LOOKUP(1E+100,M149:AC149)</f>
        <v>2492.2667464610149</v>
      </c>
      <c r="M149" s="473">
        <v>2400</v>
      </c>
      <c r="N149" s="472">
        <v>2492.2667464610149</v>
      </c>
    </row>
    <row r="150" spans="1:15">
      <c r="A150" s="472">
        <v>4</v>
      </c>
      <c r="C150" s="472">
        <f>IF(E150=E149,C149+1,1)</f>
        <v>5</v>
      </c>
      <c r="D150" s="472">
        <f>IF(K150=K149,D149,C150)</f>
        <v>5</v>
      </c>
      <c r="E150" s="472">
        <f>10+VALUE(RIGHT(LEFT(G150,3),1))</f>
        <v>15</v>
      </c>
      <c r="F150" s="472" t="str">
        <f>RIGHT(G150,2) &amp; IF(A150&lt;2,"x","")</f>
        <v>pm</v>
      </c>
      <c r="G150" s="472" t="s">
        <v>782</v>
      </c>
      <c r="H150" s="472" t="s">
        <v>331</v>
      </c>
      <c r="I150" s="472" t="s">
        <v>783</v>
      </c>
      <c r="K150" s="473">
        <f>LOOKUP(1E+100,M150:AC150)</f>
        <v>2470.8208175790637</v>
      </c>
      <c r="M150" s="473">
        <v>2400</v>
      </c>
      <c r="N150" s="472">
        <v>2470.8208175790637</v>
      </c>
    </row>
    <row r="151" spans="1:15">
      <c r="A151" s="472">
        <v>3</v>
      </c>
      <c r="C151" s="472">
        <f>IF(E151=E150,C150+1,1)</f>
        <v>6</v>
      </c>
      <c r="D151" s="472">
        <f>IF(K151=K150,D150,C151)</f>
        <v>6</v>
      </c>
      <c r="E151" s="472">
        <f>10+VALUE(RIGHT(LEFT(G151,3),1))</f>
        <v>15</v>
      </c>
      <c r="F151" s="472" t="str">
        <f>RIGHT(G151,2) &amp; IF(A151&lt;2,"x","")</f>
        <v>pm</v>
      </c>
      <c r="G151" s="472" t="s">
        <v>808</v>
      </c>
      <c r="H151" s="472" t="s">
        <v>452</v>
      </c>
      <c r="I151" s="472" t="s">
        <v>809</v>
      </c>
      <c r="K151" s="473">
        <f>LOOKUP(1E+100,M151:AC151)</f>
        <v>2470.4772204216447</v>
      </c>
      <c r="M151" s="473">
        <v>2400</v>
      </c>
      <c r="N151" s="472">
        <v>2470.4772204216447</v>
      </c>
    </row>
    <row r="152" spans="1:15">
      <c r="A152" s="472">
        <v>2</v>
      </c>
      <c r="C152" s="472">
        <f>IF(E152=E151,C151+1,1)</f>
        <v>7</v>
      </c>
      <c r="D152" s="472">
        <f>IF(K152=K151,D151,C152)</f>
        <v>7</v>
      </c>
      <c r="E152" s="472">
        <f>10+VALUE(RIGHT(LEFT(G152,3),1))</f>
        <v>15</v>
      </c>
      <c r="F152" s="472" t="str">
        <f>RIGHT(G152,2) &amp; IF(A152&lt;2,"x","")</f>
        <v>pm</v>
      </c>
      <c r="G152" s="472" t="s">
        <v>825</v>
      </c>
      <c r="H152" s="472" t="s">
        <v>501</v>
      </c>
      <c r="I152" s="472" t="s">
        <v>826</v>
      </c>
      <c r="K152" s="473">
        <f>LOOKUP(1E+100,M152:AC152)</f>
        <v>2465.8103728705682</v>
      </c>
      <c r="M152" s="473">
        <v>2400</v>
      </c>
      <c r="N152" s="472">
        <v>2465.8103728705682</v>
      </c>
    </row>
    <row r="153" spans="1:15">
      <c r="A153" s="472">
        <v>6</v>
      </c>
      <c r="C153" s="472">
        <f>IF(E153=E152,C152+1,1)</f>
        <v>8</v>
      </c>
      <c r="D153" s="472">
        <f>IF(K153=K152,D152,C153)</f>
        <v>8</v>
      </c>
      <c r="E153" s="472">
        <f>10+VALUE(RIGHT(LEFT(G153,3),1))</f>
        <v>15</v>
      </c>
      <c r="F153" s="472" t="str">
        <f>RIGHT(G153,2) &amp; IF(A153&lt;2,"x","")</f>
        <v>pm</v>
      </c>
      <c r="G153" s="472" t="s">
        <v>788</v>
      </c>
      <c r="H153" s="472" t="s">
        <v>386</v>
      </c>
      <c r="I153" s="472" t="s">
        <v>789</v>
      </c>
      <c r="K153" s="473">
        <f>LOOKUP(1E+100,M153:AC153)</f>
        <v>2462.2068631517795</v>
      </c>
      <c r="M153" s="473">
        <v>2400</v>
      </c>
      <c r="N153" s="472">
        <v>2462.2068631517795</v>
      </c>
    </row>
    <row r="154" spans="1:15">
      <c r="A154" s="472">
        <v>2</v>
      </c>
      <c r="C154" s="472">
        <f>IF(E154=E153,C153+1,1)</f>
        <v>9</v>
      </c>
      <c r="D154" s="472">
        <f>IF(K154=K153,D153,C154)</f>
        <v>9</v>
      </c>
      <c r="E154" s="472">
        <f>10+VALUE(RIGHT(LEFT(G154,3),1))</f>
        <v>15</v>
      </c>
      <c r="F154" s="472" t="str">
        <f>RIGHT(G154,2) &amp; IF(A154&lt;2,"x","")</f>
        <v>pm</v>
      </c>
      <c r="G154" s="472" t="s">
        <v>823</v>
      </c>
      <c r="H154" s="472" t="s">
        <v>501</v>
      </c>
      <c r="I154" s="472" t="s">
        <v>824</v>
      </c>
      <c r="K154" s="473">
        <f>LOOKUP(1E+100,M154:AC154)</f>
        <v>2414.3713749158273</v>
      </c>
      <c r="M154" s="473">
        <v>2400</v>
      </c>
      <c r="N154" s="472">
        <v>2414.3713749158273</v>
      </c>
    </row>
    <row r="155" spans="1:15">
      <c r="A155" s="472">
        <v>3</v>
      </c>
      <c r="C155" s="472">
        <f>IF(E155=E154,C154+1,1)</f>
        <v>10</v>
      </c>
      <c r="D155" s="472">
        <f>IF(K155=K154,D154,C155)</f>
        <v>10</v>
      </c>
      <c r="E155" s="472">
        <f>10+VALUE(RIGHT(LEFT(G155,3),1))</f>
        <v>15</v>
      </c>
      <c r="F155" s="472" t="str">
        <f>RIGHT(G155,2) &amp; IF(A155&lt;2,"x","")</f>
        <v>pm</v>
      </c>
      <c r="G155" s="472" t="s">
        <v>790</v>
      </c>
      <c r="H155" s="472" t="s">
        <v>391</v>
      </c>
      <c r="I155" s="472" t="s">
        <v>791</v>
      </c>
      <c r="K155" s="473">
        <f>LOOKUP(1E+100,M155:AC155)</f>
        <v>2400</v>
      </c>
      <c r="M155" s="473">
        <v>2400</v>
      </c>
    </row>
    <row r="156" spans="1:15">
      <c r="A156" s="472">
        <v>6</v>
      </c>
      <c r="C156" s="472">
        <f>IF(E156=E155,C155+1,1)</f>
        <v>11</v>
      </c>
      <c r="D156" s="472">
        <f>IF(K156=K155,D155,C156)</f>
        <v>10</v>
      </c>
      <c r="E156" s="472">
        <f>10+VALUE(RIGHT(LEFT(G156,3),1))</f>
        <v>15</v>
      </c>
      <c r="F156" s="472" t="str">
        <f>RIGHT(G156,2) &amp; IF(A156&lt;2,"x","")</f>
        <v>pm</v>
      </c>
      <c r="G156" s="472" t="s">
        <v>801</v>
      </c>
      <c r="H156" s="472" t="s">
        <v>394</v>
      </c>
      <c r="I156" s="472" t="s">
        <v>802</v>
      </c>
      <c r="K156" s="473">
        <f>LOOKUP(1E+100,M156:AC156)</f>
        <v>2400</v>
      </c>
      <c r="M156" s="473">
        <v>2400</v>
      </c>
    </row>
    <row r="157" spans="1:15">
      <c r="A157" s="472">
        <v>2</v>
      </c>
      <c r="C157" s="472">
        <f>IF(E157=E156,C156+1,1)</f>
        <v>12</v>
      </c>
      <c r="D157" s="472">
        <f>IF(K157=K156,D156,C157)</f>
        <v>10</v>
      </c>
      <c r="E157" s="472">
        <f>10+VALUE(RIGHT(LEFT(G157,3),1))</f>
        <v>15</v>
      </c>
      <c r="F157" s="472" t="str">
        <f>RIGHT(G157,2) &amp; IF(A157&lt;2,"x","")</f>
        <v>pm</v>
      </c>
      <c r="G157" s="472" t="s">
        <v>813</v>
      </c>
      <c r="H157" s="472" t="s">
        <v>154</v>
      </c>
      <c r="I157" s="472" t="s">
        <v>814</v>
      </c>
      <c r="K157" s="473">
        <f>LOOKUP(1E+100,M157:AC157)</f>
        <v>2400</v>
      </c>
      <c r="M157" s="473">
        <v>2400</v>
      </c>
    </row>
    <row r="158" spans="1:15">
      <c r="A158" s="472">
        <v>2</v>
      </c>
      <c r="C158" s="472">
        <f>IF(E158=E157,C157+1,1)</f>
        <v>13</v>
      </c>
      <c r="D158" s="472">
        <f>IF(K158=K157,D157,C158)</f>
        <v>10</v>
      </c>
      <c r="E158" s="472">
        <f>10+VALUE(RIGHT(LEFT(G158,3),1))</f>
        <v>15</v>
      </c>
      <c r="F158" s="472" t="str">
        <f>RIGHT(G158,2) &amp; IF(A158&lt;2,"x","")</f>
        <v>pm</v>
      </c>
      <c r="G158" s="472" t="s">
        <v>815</v>
      </c>
      <c r="H158" s="472" t="s">
        <v>154</v>
      </c>
      <c r="I158" s="472" t="s">
        <v>816</v>
      </c>
      <c r="K158" s="473">
        <f>LOOKUP(1E+100,M158:AC158)</f>
        <v>2400</v>
      </c>
      <c r="M158" s="473">
        <v>2400</v>
      </c>
    </row>
    <row r="159" spans="1:15">
      <c r="A159" s="472">
        <v>2</v>
      </c>
      <c r="C159" s="472">
        <f>IF(E159=E158,C158+1,1)</f>
        <v>14</v>
      </c>
      <c r="D159" s="472">
        <f>IF(K159=K158,D158,C159)</f>
        <v>10</v>
      </c>
      <c r="E159" s="472">
        <f>10+VALUE(RIGHT(LEFT(G159,3),1))</f>
        <v>15</v>
      </c>
      <c r="F159" s="472" t="str">
        <f>RIGHT(G159,2) &amp; IF(A159&lt;2,"x","")</f>
        <v>pm</v>
      </c>
      <c r="G159" s="472" t="s">
        <v>817</v>
      </c>
      <c r="H159" s="472" t="s">
        <v>154</v>
      </c>
      <c r="I159" s="472" t="s">
        <v>818</v>
      </c>
      <c r="K159" s="473">
        <f>LOOKUP(1E+100,M159:AC159)</f>
        <v>2400</v>
      </c>
      <c r="M159" s="473">
        <v>2400</v>
      </c>
    </row>
    <row r="160" spans="1:15">
      <c r="A160" s="472">
        <v>2</v>
      </c>
      <c r="C160" s="472">
        <f>IF(E160=E159,C159+1,1)</f>
        <v>15</v>
      </c>
      <c r="D160" s="472">
        <f>IF(K160=K159,D159,C160)</f>
        <v>10</v>
      </c>
      <c r="E160" s="472">
        <f>10+VALUE(RIGHT(LEFT(G160,3),1))</f>
        <v>15</v>
      </c>
      <c r="F160" s="472" t="str">
        <f>RIGHT(G160,2) &amp; IF(A160&lt;2,"x","")</f>
        <v>pm</v>
      </c>
      <c r="G160" s="472" t="s">
        <v>819</v>
      </c>
      <c r="H160" s="472" t="s">
        <v>154</v>
      </c>
      <c r="I160" s="472" t="s">
        <v>820</v>
      </c>
      <c r="K160" s="473">
        <f>LOOKUP(1E+100,M160:AC160)</f>
        <v>2400</v>
      </c>
      <c r="M160" s="473">
        <v>2400</v>
      </c>
    </row>
    <row r="161" spans="1:15">
      <c r="A161" s="472">
        <v>3</v>
      </c>
      <c r="C161" s="472">
        <f>IF(E161=E160,C160+1,1)</f>
        <v>16</v>
      </c>
      <c r="D161" s="472">
        <f>IF(K161=K160,D160,C161)</f>
        <v>10</v>
      </c>
      <c r="E161" s="472">
        <f>10+VALUE(RIGHT(LEFT(G161,3),1))</f>
        <v>15</v>
      </c>
      <c r="F161" s="472" t="str">
        <f>RIGHT(G161,2) &amp; IF(A161&lt;2,"x","")</f>
        <v>pm</v>
      </c>
      <c r="G161" s="472" t="s">
        <v>827</v>
      </c>
      <c r="H161" s="472" t="s">
        <v>408</v>
      </c>
      <c r="I161" s="472" t="s">
        <v>828</v>
      </c>
      <c r="K161" s="473">
        <f>LOOKUP(1E+100,M161:AC161)</f>
        <v>2400</v>
      </c>
      <c r="M161" s="473">
        <v>2400</v>
      </c>
    </row>
    <row r="162" spans="1:15">
      <c r="A162" s="472">
        <v>4</v>
      </c>
      <c r="C162" s="472">
        <f>IF(E162=E161,C161+1,1)</f>
        <v>17</v>
      </c>
      <c r="D162" s="472">
        <f>IF(K162=K161,D161,C162)</f>
        <v>10</v>
      </c>
      <c r="E162" s="472">
        <f>10+VALUE(RIGHT(LEFT(G162,3),1))</f>
        <v>15</v>
      </c>
      <c r="F162" s="472" t="str">
        <f>RIGHT(G162,2) &amp; IF(A162&lt;2,"x","")</f>
        <v>pm</v>
      </c>
      <c r="G162" s="472" t="s">
        <v>833</v>
      </c>
      <c r="H162" s="472" t="s">
        <v>86</v>
      </c>
      <c r="I162" s="472" t="s">
        <v>834</v>
      </c>
      <c r="K162" s="473">
        <f>LOOKUP(1E+100,M162:AC162)</f>
        <v>2400</v>
      </c>
      <c r="M162" s="473">
        <v>2400</v>
      </c>
    </row>
    <row r="163" spans="1:15">
      <c r="A163" s="472">
        <v>3</v>
      </c>
      <c r="C163" s="472">
        <f>IF(E163=E162,C162+1,1)</f>
        <v>18</v>
      </c>
      <c r="D163" s="472">
        <f>IF(K163=K162,D162,C163)</f>
        <v>10</v>
      </c>
      <c r="E163" s="472">
        <f>10+VALUE(RIGHT(LEFT(G163,3),1))</f>
        <v>15</v>
      </c>
      <c r="F163" s="472" t="str">
        <f>RIGHT(G163,2) &amp; IF(A163&lt;2,"x","")</f>
        <v>pm</v>
      </c>
      <c r="G163" s="472" t="s">
        <v>854</v>
      </c>
      <c r="H163" s="472" t="s">
        <v>483</v>
      </c>
      <c r="I163" s="472" t="s">
        <v>855</v>
      </c>
      <c r="K163" s="473">
        <f>LOOKUP(1E+100,M163:AC163)</f>
        <v>2400</v>
      </c>
      <c r="M163" s="473">
        <v>2400</v>
      </c>
    </row>
    <row r="164" spans="1:15">
      <c r="A164" s="472">
        <v>5</v>
      </c>
      <c r="C164" s="472">
        <f>IF(E164=E163,C163+1,1)</f>
        <v>19</v>
      </c>
      <c r="D164" s="472">
        <f>IF(K164=K163,D163,C164)</f>
        <v>19</v>
      </c>
      <c r="E164" s="472">
        <f>10+VALUE(RIGHT(LEFT(G164,3),1))</f>
        <v>15</v>
      </c>
      <c r="F164" s="472" t="str">
        <f>RIGHT(G164,2) &amp; IF(A164&lt;2,"x","")</f>
        <v>pm</v>
      </c>
      <c r="G164" s="472" t="s">
        <v>786</v>
      </c>
      <c r="H164" s="472" t="s">
        <v>383</v>
      </c>
      <c r="I164" s="472" t="s">
        <v>787</v>
      </c>
      <c r="K164" s="473">
        <f>LOOKUP(1E+100,M164:AC164)</f>
        <v>2396.4856055822324</v>
      </c>
      <c r="M164" s="473">
        <v>2400</v>
      </c>
      <c r="N164" s="472">
        <v>2396.4856055822324</v>
      </c>
    </row>
    <row r="165" spans="1:15">
      <c r="A165" s="472">
        <v>4</v>
      </c>
      <c r="C165" s="472">
        <f>IF(E165=E164,C164+1,1)</f>
        <v>20</v>
      </c>
      <c r="D165" s="472">
        <f>IF(K165=K164,D164,C165)</f>
        <v>20</v>
      </c>
      <c r="E165" s="472">
        <f>10+VALUE(RIGHT(LEFT(G165,3),1))</f>
        <v>15</v>
      </c>
      <c r="F165" s="472" t="str">
        <f>RIGHT(G165,2) &amp; IF(A165&lt;2,"x","")</f>
        <v>pm</v>
      </c>
      <c r="G165" s="472" t="s">
        <v>784</v>
      </c>
      <c r="H165" s="472" t="s">
        <v>331</v>
      </c>
      <c r="I165" s="472" t="s">
        <v>785</v>
      </c>
      <c r="K165" s="473">
        <f>LOOKUP(1E+100,M165:AC165)</f>
        <v>2369.8134275114357</v>
      </c>
      <c r="M165" s="473">
        <v>2400</v>
      </c>
      <c r="N165" s="472">
        <v>2369.8134275114357</v>
      </c>
    </row>
    <row r="166" spans="1:15">
      <c r="A166" s="472">
        <v>6</v>
      </c>
      <c r="C166" s="472">
        <f>IF(E166=E165,C165+1,1)</f>
        <v>21</v>
      </c>
      <c r="D166" s="472">
        <f>IF(K166=K165,D165,C166)</f>
        <v>21</v>
      </c>
      <c r="E166" s="472">
        <f>10+VALUE(RIGHT(LEFT(G166,3),1))</f>
        <v>15</v>
      </c>
      <c r="F166" s="472" t="str">
        <f>RIGHT(G166,2) &amp; IF(A166&lt;2,"x","")</f>
        <v>pm</v>
      </c>
      <c r="G166" s="472" t="s">
        <v>803</v>
      </c>
      <c r="H166" s="472" t="s">
        <v>421</v>
      </c>
      <c r="I166" s="472" t="s">
        <v>804</v>
      </c>
      <c r="K166" s="473">
        <f>LOOKUP(1E+100,M166:AC166)</f>
        <v>2346.6535202790119</v>
      </c>
      <c r="M166" s="473">
        <v>2400</v>
      </c>
      <c r="N166" s="472">
        <v>2346.6535202790119</v>
      </c>
    </row>
    <row r="167" spans="1:15">
      <c r="A167" s="472">
        <v>5</v>
      </c>
      <c r="C167" s="472">
        <f>IF(E167=E166,C166+1,1)</f>
        <v>22</v>
      </c>
      <c r="D167" s="472">
        <f>IF(K167=K166,D166,C167)</f>
        <v>22</v>
      </c>
      <c r="E167" s="472">
        <f>10+VALUE(RIGHT(LEFT(G167,3),1))</f>
        <v>15</v>
      </c>
      <c r="F167" s="472" t="str">
        <f>RIGHT(G167,2) &amp; IF(A167&lt;2,"x","")</f>
        <v>pm</v>
      </c>
      <c r="G167" s="472" t="s">
        <v>829</v>
      </c>
      <c r="H167" s="472" t="s">
        <v>411</v>
      </c>
      <c r="I167" s="472" t="s">
        <v>830</v>
      </c>
      <c r="K167" s="473">
        <f>LOOKUP(1E+100,M167:AC167)</f>
        <v>2341.5835419232544</v>
      </c>
      <c r="M167" s="473">
        <v>2400</v>
      </c>
      <c r="N167" s="472">
        <v>2341.5835419232544</v>
      </c>
    </row>
    <row r="168" spans="1:15">
      <c r="A168" s="472">
        <v>7</v>
      </c>
      <c r="C168" s="472">
        <f>IF(E168=E167,C167+1,1)</f>
        <v>23</v>
      </c>
      <c r="D168" s="472">
        <f>IF(K168=K167,D167,C168)</f>
        <v>23</v>
      </c>
      <c r="E168" s="472">
        <f>10+VALUE(RIGHT(LEFT(G168,3),1))</f>
        <v>15</v>
      </c>
      <c r="F168" s="472" t="str">
        <f>RIGHT(G168,2) &amp; IF(A168&lt;2,"x","")</f>
        <v>pm</v>
      </c>
      <c r="G168" s="472" t="s">
        <v>831</v>
      </c>
      <c r="H168" s="472" t="s">
        <v>411</v>
      </c>
      <c r="I168" s="472" t="s">
        <v>832</v>
      </c>
      <c r="K168" s="473">
        <f>LOOKUP(1E+100,M168:AC168)</f>
        <v>2327.0564608218274</v>
      </c>
      <c r="M168" s="473">
        <v>2400</v>
      </c>
      <c r="N168" s="472">
        <v>2327.0564608218274</v>
      </c>
    </row>
    <row r="169" spans="1:15">
      <c r="A169" s="472">
        <v>4</v>
      </c>
      <c r="C169" s="472">
        <f>IF(E169=E168,C168+1,1)</f>
        <v>24</v>
      </c>
      <c r="D169" s="472">
        <f>IF(K169=K168,D168,C169)</f>
        <v>24</v>
      </c>
      <c r="E169" s="472">
        <f>10+VALUE(RIGHT(LEFT(G169,3),1))</f>
        <v>15</v>
      </c>
      <c r="F169" s="472" t="str">
        <f>RIGHT(G169,2) &amp; IF(A169&lt;2,"x","")</f>
        <v>pm</v>
      </c>
      <c r="G169" s="472" t="s">
        <v>798</v>
      </c>
      <c r="H169" s="472" t="s">
        <v>799</v>
      </c>
      <c r="I169" s="472" t="s">
        <v>800</v>
      </c>
      <c r="K169" s="473">
        <f>LOOKUP(1E+100,M169:AC169)</f>
        <v>2325.1183630529181</v>
      </c>
      <c r="M169" s="473">
        <v>2400</v>
      </c>
      <c r="N169" s="472">
        <v>2325.1183630529181</v>
      </c>
    </row>
    <row r="170" spans="1:15">
      <c r="A170" s="472">
        <v>4</v>
      </c>
      <c r="C170" s="472">
        <f>IF(E170=E169,C169+1,1)</f>
        <v>25</v>
      </c>
      <c r="D170" s="472">
        <f>IF(K170=K169,D169,C170)</f>
        <v>25</v>
      </c>
      <c r="E170" s="472">
        <f>10+VALUE(RIGHT(LEFT(G170,3),1))</f>
        <v>15</v>
      </c>
      <c r="F170" s="472" t="str">
        <f>RIGHT(G170,2) &amp; IF(A170&lt;2,"x","")</f>
        <v>pm</v>
      </c>
      <c r="G170" s="472" t="s">
        <v>848</v>
      </c>
      <c r="H170" s="472" t="s">
        <v>654</v>
      </c>
      <c r="I170" s="472" t="s">
        <v>849</v>
      </c>
      <c r="K170" s="473">
        <f>LOOKUP(1E+100,M170:AC170)</f>
        <v>2300.1136222741839</v>
      </c>
      <c r="M170" s="473">
        <v>2400</v>
      </c>
      <c r="N170" s="472">
        <v>2300.1136222741839</v>
      </c>
    </row>
    <row r="171" spans="1:15">
      <c r="A171" s="472">
        <v>4</v>
      </c>
      <c r="C171" s="472">
        <f>IF(E171=E170,C170+1,1)</f>
        <v>26</v>
      </c>
      <c r="D171" s="472">
        <f>IF(K171=K170,D170,C171)</f>
        <v>26</v>
      </c>
      <c r="E171" s="472">
        <f>10+VALUE(RIGHT(LEFT(G171,3),1))</f>
        <v>15</v>
      </c>
      <c r="F171" s="472" t="str">
        <f>RIGHT(G171,2) &amp; IF(A171&lt;2,"x","")</f>
        <v>pm</v>
      </c>
      <c r="G171" s="472" t="s">
        <v>858</v>
      </c>
      <c r="H171" s="472" t="s">
        <v>92</v>
      </c>
      <c r="I171" s="472" t="s">
        <v>859</v>
      </c>
      <c r="K171" s="473">
        <f>LOOKUP(1E+100,M171:AC171)</f>
        <v>2300</v>
      </c>
      <c r="M171" s="473">
        <v>2300</v>
      </c>
    </row>
    <row r="172" spans="1:15">
      <c r="A172" s="472">
        <v>7</v>
      </c>
      <c r="C172" s="472">
        <f>IF(E172=E171,C171+1,1)</f>
        <v>27</v>
      </c>
      <c r="D172" s="472">
        <f>IF(K172=K171,D171,C172)</f>
        <v>27</v>
      </c>
      <c r="E172" s="472">
        <f>10+VALUE(RIGHT(LEFT(G172,3),1))</f>
        <v>15</v>
      </c>
      <c r="F172" s="472" t="str">
        <f>RIGHT(G172,2) &amp; IF(A172&lt;2,"x","")</f>
        <v>pm</v>
      </c>
      <c r="G172" s="472" t="s">
        <v>764</v>
      </c>
      <c r="H172" s="472" t="s">
        <v>512</v>
      </c>
      <c r="I172" s="472" t="s">
        <v>765</v>
      </c>
      <c r="K172" s="473">
        <f>LOOKUP(1E+100,M172:AC172)</f>
        <v>2276.9965662182972</v>
      </c>
      <c r="M172" s="473">
        <v>2428.5714285714284</v>
      </c>
      <c r="O172" s="472">
        <v>2276.9965662182972</v>
      </c>
    </row>
    <row r="173" spans="1:15">
      <c r="A173" s="472">
        <v>4</v>
      </c>
      <c r="C173" s="472">
        <f>IF(E173=E172,C172+1,1)</f>
        <v>28</v>
      </c>
      <c r="D173" s="472">
        <f>IF(K173=K172,D172,C173)</f>
        <v>28</v>
      </c>
      <c r="E173" s="472">
        <f>10+VALUE(RIGHT(LEFT(G173,3),1))</f>
        <v>15</v>
      </c>
      <c r="F173" s="472" t="str">
        <f>RIGHT(G173,2) &amp; IF(A173&lt;2,"x","")</f>
        <v>pm</v>
      </c>
      <c r="G173" s="472" t="s">
        <v>860</v>
      </c>
      <c r="H173" s="472" t="s">
        <v>408</v>
      </c>
      <c r="I173" s="472" t="s">
        <v>861</v>
      </c>
      <c r="K173" s="473">
        <f>LOOKUP(1E+100,M173:AC173)</f>
        <v>2235.0356284950308</v>
      </c>
      <c r="M173" s="473">
        <v>2300</v>
      </c>
      <c r="O173" s="472">
        <v>2235.0356284950308</v>
      </c>
    </row>
    <row r="174" spans="1:15">
      <c r="A174" s="472">
        <v>6</v>
      </c>
      <c r="C174" s="472">
        <f>IF(E174=E173,C173+1,1)</f>
        <v>29</v>
      </c>
      <c r="D174" s="472">
        <f>IF(K174=K173,D173,C174)</f>
        <v>29</v>
      </c>
      <c r="E174" s="472">
        <f>10+VALUE(RIGHT(LEFT(G174,3),1))</f>
        <v>15</v>
      </c>
      <c r="F174" s="472" t="str">
        <f>RIGHT(G174,2) &amp; IF(A174&lt;2,"x","")</f>
        <v>pm</v>
      </c>
      <c r="G174" s="472" t="s">
        <v>856</v>
      </c>
      <c r="H174" s="472" t="s">
        <v>386</v>
      </c>
      <c r="I174" s="472" t="s">
        <v>857</v>
      </c>
      <c r="K174" s="473">
        <f>LOOKUP(1E+100,M174:AC174)</f>
        <v>2181.068342313471</v>
      </c>
      <c r="M174" s="473">
        <v>2333.3333333333335</v>
      </c>
      <c r="O174" s="472">
        <v>2181.068342313471</v>
      </c>
    </row>
    <row r="175" spans="1:15">
      <c r="A175" s="472">
        <v>5</v>
      </c>
      <c r="C175" s="472">
        <f>IF(E175=E174,C174+1,1)</f>
        <v>30</v>
      </c>
      <c r="D175" s="472">
        <f>IF(K175=K174,D174,C175)</f>
        <v>30</v>
      </c>
      <c r="E175" s="472">
        <f>10+VALUE(RIGHT(LEFT(G175,3),1))</f>
        <v>15</v>
      </c>
      <c r="F175" s="472" t="str">
        <f>RIGHT(G175,2) &amp; IF(A175&lt;2,"x","")</f>
        <v>pm</v>
      </c>
      <c r="G175" s="472" t="s">
        <v>862</v>
      </c>
      <c r="H175" s="472" t="s">
        <v>337</v>
      </c>
      <c r="I175" s="472" t="s">
        <v>863</v>
      </c>
      <c r="K175" s="473">
        <f>LOOKUP(1E+100,M175:AC175)</f>
        <v>2166.7401209474078</v>
      </c>
      <c r="M175" s="473">
        <v>2160</v>
      </c>
      <c r="O175" s="472">
        <v>2166.7401209474078</v>
      </c>
    </row>
    <row r="176" spans="1:15">
      <c r="A176" s="472">
        <v>6</v>
      </c>
      <c r="C176" s="472">
        <f>IF(E176=E175,C175+1,1)</f>
        <v>31</v>
      </c>
      <c r="D176" s="472">
        <f>IF(K176=K175,D175,C176)</f>
        <v>31</v>
      </c>
      <c r="E176" s="472">
        <f>10+VALUE(RIGHT(LEFT(G176,3),1))</f>
        <v>15</v>
      </c>
      <c r="F176" s="472" t="str">
        <f>RIGHT(G176,2) &amp; IF(A176&lt;2,"x","")</f>
        <v>pm</v>
      </c>
      <c r="G176" s="472" t="s">
        <v>864</v>
      </c>
      <c r="H176" s="472" t="s">
        <v>671</v>
      </c>
      <c r="I176" s="472" t="s">
        <v>865</v>
      </c>
      <c r="K176" s="473">
        <f>LOOKUP(1E+100,M176:AC176)</f>
        <v>2144.1217834697964</v>
      </c>
      <c r="M176" s="473">
        <v>2066.6666666666665</v>
      </c>
      <c r="O176" s="472">
        <v>2144.1217834697964</v>
      </c>
    </row>
    <row r="177" spans="1:15">
      <c r="A177" s="472">
        <v>5</v>
      </c>
      <c r="C177" s="472">
        <f>IF(E177=E176,C176+1,1)</f>
        <v>32</v>
      </c>
      <c r="D177" s="472">
        <f>IF(K177=K176,D176,C177)</f>
        <v>32</v>
      </c>
      <c r="E177" s="472">
        <f>10+VALUE(RIGHT(LEFT(G177,3),1))</f>
        <v>15</v>
      </c>
      <c r="F177" s="472" t="str">
        <f>RIGHT(G177,2) &amp; IF(A177&lt;2,"x","")</f>
        <v>pm</v>
      </c>
      <c r="G177" s="472" t="s">
        <v>890</v>
      </c>
      <c r="H177" s="472" t="s">
        <v>301</v>
      </c>
      <c r="I177" s="472" t="s">
        <v>891</v>
      </c>
      <c r="K177" s="473">
        <f>LOOKUP(1E+100,M177:AC177)</f>
        <v>2082.3894703533642</v>
      </c>
      <c r="M177" s="473">
        <v>2000</v>
      </c>
      <c r="O177" s="472">
        <v>2082.3894703533642</v>
      </c>
    </row>
    <row r="178" spans="1:15">
      <c r="A178" s="472">
        <v>2</v>
      </c>
      <c r="C178" s="472">
        <f>IF(E178=E177,C177+1,1)</f>
        <v>33</v>
      </c>
      <c r="D178" s="472">
        <f>IF(K178=K177,D177,C178)</f>
        <v>33</v>
      </c>
      <c r="E178" s="472">
        <f>10+VALUE(RIGHT(LEFT(G178,3),1))</f>
        <v>15</v>
      </c>
      <c r="F178" s="472" t="str">
        <f>RIGHT(G178,2) &amp; IF(A178&lt;2,"x","")</f>
        <v>pm</v>
      </c>
      <c r="G178" s="472" t="s">
        <v>882</v>
      </c>
      <c r="H178" s="472" t="s">
        <v>370</v>
      </c>
      <c r="I178" s="472" t="s">
        <v>883</v>
      </c>
      <c r="K178" s="473">
        <f>LOOKUP(1E+100,M178:AC178)</f>
        <v>2026.0099610120353</v>
      </c>
      <c r="M178" s="473">
        <v>2000</v>
      </c>
      <c r="O178" s="472">
        <v>2026.0099610120353</v>
      </c>
    </row>
    <row r="179" spans="1:15">
      <c r="A179" s="472">
        <v>6</v>
      </c>
      <c r="C179" s="472">
        <f>IF(E179=E178,C178+1,1)</f>
        <v>34</v>
      </c>
      <c r="D179" s="472">
        <f>IF(K179=K178,D178,C179)</f>
        <v>34</v>
      </c>
      <c r="E179" s="472">
        <f>10+VALUE(RIGHT(LEFT(G179,3),1))</f>
        <v>15</v>
      </c>
      <c r="F179" s="472" t="str">
        <f>RIGHT(G179,2) &amp; IF(A179&lt;2,"x","")</f>
        <v>pm</v>
      </c>
      <c r="G179" s="472" t="s">
        <v>900</v>
      </c>
      <c r="H179" s="472" t="s">
        <v>421</v>
      </c>
      <c r="I179" s="472" t="s">
        <v>901</v>
      </c>
      <c r="K179" s="473">
        <f>LOOKUP(1E+100,M179:AC179)</f>
        <v>2021.5539015085499</v>
      </c>
      <c r="M179" s="473">
        <v>2000</v>
      </c>
      <c r="O179" s="472">
        <v>2021.5539015085499</v>
      </c>
    </row>
    <row r="180" spans="1:15">
      <c r="A180" s="472">
        <v>3</v>
      </c>
      <c r="C180" s="472">
        <f>IF(E180=E179,C179+1,1)</f>
        <v>35</v>
      </c>
      <c r="D180" s="472">
        <f>IF(K180=K179,D179,C180)</f>
        <v>35</v>
      </c>
      <c r="E180" s="472">
        <f>10+VALUE(RIGHT(LEFT(G180,3),1))</f>
        <v>15</v>
      </c>
      <c r="F180" s="472" t="str">
        <f>RIGHT(G180,2) &amp; IF(A180&lt;2,"x","")</f>
        <v>pm</v>
      </c>
      <c r="G180" s="472" t="s">
        <v>875</v>
      </c>
      <c r="H180" s="472" t="s">
        <v>876</v>
      </c>
      <c r="I180" s="472" t="s">
        <v>877</v>
      </c>
      <c r="K180" s="473">
        <f>LOOKUP(1E+100,M180:AC180)</f>
        <v>2000</v>
      </c>
      <c r="M180" s="473">
        <v>2000</v>
      </c>
    </row>
    <row r="181" spans="1:15">
      <c r="A181" s="472">
        <v>2</v>
      </c>
      <c r="C181" s="472">
        <f>IF(E181=E180,C180+1,1)</f>
        <v>36</v>
      </c>
      <c r="D181" s="472">
        <f>IF(K181=K180,D180,C181)</f>
        <v>35</v>
      </c>
      <c r="E181" s="472">
        <f>10+VALUE(RIGHT(LEFT(G181,3),1))</f>
        <v>15</v>
      </c>
      <c r="F181" s="472" t="str">
        <f>RIGHT(G181,2) &amp; IF(A181&lt;2,"x","")</f>
        <v>pm</v>
      </c>
      <c r="G181" s="472" t="s">
        <v>892</v>
      </c>
      <c r="H181" s="472" t="s">
        <v>92</v>
      </c>
      <c r="I181" s="472" t="s">
        <v>893</v>
      </c>
      <c r="K181" s="473">
        <f>LOOKUP(1E+100,M181:AC181)</f>
        <v>2000</v>
      </c>
      <c r="M181" s="473">
        <v>2000</v>
      </c>
    </row>
    <row r="182" spans="1:15">
      <c r="A182" s="472">
        <v>4</v>
      </c>
      <c r="C182" s="472">
        <f>IF(E182=E181,C181+1,1)</f>
        <v>37</v>
      </c>
      <c r="D182" s="472">
        <f>IF(K182=K181,D181,C182)</f>
        <v>35</v>
      </c>
      <c r="E182" s="472">
        <f>10+VALUE(RIGHT(LEFT(G182,3),1))</f>
        <v>15</v>
      </c>
      <c r="F182" s="472" t="str">
        <f>RIGHT(G182,2) &amp; IF(A182&lt;2,"x","")</f>
        <v>pm</v>
      </c>
      <c r="G182" s="472" t="s">
        <v>894</v>
      </c>
      <c r="H182" s="472" t="s">
        <v>397</v>
      </c>
      <c r="I182" s="472" t="s">
        <v>895</v>
      </c>
      <c r="K182" s="473">
        <f>LOOKUP(1E+100,M182:AC182)</f>
        <v>2000</v>
      </c>
      <c r="M182" s="473">
        <v>2000</v>
      </c>
    </row>
    <row r="183" spans="1:15">
      <c r="A183" s="472">
        <v>5</v>
      </c>
      <c r="C183" s="472">
        <f>IF(E183=E182,C182+1,1)</f>
        <v>38</v>
      </c>
      <c r="D183" s="472">
        <f>IF(K183=K182,D182,C183)</f>
        <v>35</v>
      </c>
      <c r="E183" s="472">
        <f>10+VALUE(RIGHT(LEFT(G183,3),1))</f>
        <v>15</v>
      </c>
      <c r="F183" s="472" t="str">
        <f>RIGHT(G183,2) &amp; IF(A183&lt;2,"x","")</f>
        <v>pm</v>
      </c>
      <c r="G183" s="472" t="s">
        <v>896</v>
      </c>
      <c r="H183" s="472" t="s">
        <v>402</v>
      </c>
      <c r="I183" s="472" t="s">
        <v>897</v>
      </c>
      <c r="K183" s="473">
        <f>LOOKUP(1E+100,M183:AC183)</f>
        <v>2000</v>
      </c>
      <c r="M183" s="473">
        <v>2000</v>
      </c>
    </row>
    <row r="184" spans="1:15">
      <c r="A184" s="472">
        <v>5</v>
      </c>
      <c r="C184" s="472">
        <f>IF(E184=E183,C183+1,1)</f>
        <v>39</v>
      </c>
      <c r="D184" s="472">
        <f>IF(K184=K183,D183,C184)</f>
        <v>35</v>
      </c>
      <c r="E184" s="472">
        <f>10+VALUE(RIGHT(LEFT(G184,3),1))</f>
        <v>15</v>
      </c>
      <c r="F184" s="472" t="str">
        <f>RIGHT(G184,2) &amp; IF(A184&lt;2,"x","")</f>
        <v>pm</v>
      </c>
      <c r="G184" s="472" t="s">
        <v>898</v>
      </c>
      <c r="H184" s="472" t="s">
        <v>402</v>
      </c>
      <c r="I184" s="472" t="s">
        <v>899</v>
      </c>
      <c r="K184" s="473">
        <f>LOOKUP(1E+100,M184:AC184)</f>
        <v>2000</v>
      </c>
      <c r="M184" s="473">
        <v>2000</v>
      </c>
    </row>
    <row r="185" spans="1:15">
      <c r="A185" s="472">
        <v>2</v>
      </c>
      <c r="C185" s="472">
        <f>IF(E185=E184,C184+1,1)</f>
        <v>40</v>
      </c>
      <c r="D185" s="472">
        <f>IF(K185=K184,D184,C185)</f>
        <v>35</v>
      </c>
      <c r="E185" s="472">
        <f>10+VALUE(RIGHT(LEFT(G185,3),1))</f>
        <v>15</v>
      </c>
      <c r="F185" s="472" t="str">
        <f>RIGHT(G185,2) &amp; IF(A185&lt;2,"x","")</f>
        <v>pm</v>
      </c>
      <c r="G185" s="472" t="s">
        <v>904</v>
      </c>
      <c r="H185" s="472" t="s">
        <v>154</v>
      </c>
      <c r="I185" s="472" t="s">
        <v>905</v>
      </c>
      <c r="K185" s="473">
        <f>LOOKUP(1E+100,M185:AC185)</f>
        <v>2000</v>
      </c>
      <c r="M185" s="473">
        <v>2000</v>
      </c>
    </row>
    <row r="186" spans="1:15">
      <c r="A186" s="472">
        <v>5</v>
      </c>
      <c r="C186" s="472">
        <f>IF(E186=E185,C185+1,1)</f>
        <v>41</v>
      </c>
      <c r="D186" s="472">
        <f>IF(K186=K185,D185,C186)</f>
        <v>35</v>
      </c>
      <c r="E186" s="472">
        <f>10+VALUE(RIGHT(LEFT(G186,3),1))</f>
        <v>15</v>
      </c>
      <c r="F186" s="472" t="str">
        <f>RIGHT(G186,2) &amp; IF(A186&lt;2,"x","")</f>
        <v>pm</v>
      </c>
      <c r="G186" s="472" t="s">
        <v>908</v>
      </c>
      <c r="H186" s="472" t="s">
        <v>86</v>
      </c>
      <c r="I186" s="472" t="s">
        <v>909</v>
      </c>
      <c r="K186" s="473">
        <f>LOOKUP(1E+100,M186:AC186)</f>
        <v>2000</v>
      </c>
      <c r="M186" s="473">
        <v>2000</v>
      </c>
    </row>
    <row r="187" spans="1:15">
      <c r="A187" s="472">
        <v>3</v>
      </c>
      <c r="C187" s="472">
        <f>IF(E187=E186,C186+1,1)</f>
        <v>42</v>
      </c>
      <c r="D187" s="472">
        <f>IF(K187=K186,D186,C187)</f>
        <v>42</v>
      </c>
      <c r="E187" s="472">
        <f>10+VALUE(RIGHT(LEFT(G187,3),1))</f>
        <v>15</v>
      </c>
      <c r="F187" s="472" t="str">
        <f>RIGHT(G187,2) &amp; IF(A187&lt;2,"x","")</f>
        <v>pm</v>
      </c>
      <c r="G187" s="472" t="s">
        <v>886</v>
      </c>
      <c r="H187" s="472" t="s">
        <v>331</v>
      </c>
      <c r="I187" s="472" t="s">
        <v>887</v>
      </c>
      <c r="K187" s="473">
        <f>LOOKUP(1E+100,M187:AC187)</f>
        <v>1946.6508848780252</v>
      </c>
      <c r="M187" s="473">
        <v>2000</v>
      </c>
      <c r="O187" s="472">
        <v>1946.6508848780252</v>
      </c>
    </row>
    <row r="188" spans="1:15">
      <c r="A188" s="472">
        <v>5</v>
      </c>
      <c r="C188" s="472">
        <f>IF(E188=E187,C187+1,1)</f>
        <v>43</v>
      </c>
      <c r="D188" s="472">
        <f>IF(K188=K187,D187,C188)</f>
        <v>43</v>
      </c>
      <c r="E188" s="472">
        <f>10+VALUE(RIGHT(LEFT(G188,3),1))</f>
        <v>15</v>
      </c>
      <c r="F188" s="472" t="str">
        <f>RIGHT(G188,2) &amp; IF(A188&lt;2,"x","")</f>
        <v>pm</v>
      </c>
      <c r="G188" s="472" t="s">
        <v>869</v>
      </c>
      <c r="H188" s="472" t="s">
        <v>870</v>
      </c>
      <c r="I188" s="472" t="s">
        <v>871</v>
      </c>
      <c r="K188" s="473">
        <f>LOOKUP(1E+100,M188:AC188)</f>
        <v>1945.5835796928918</v>
      </c>
      <c r="M188" s="473">
        <v>2000</v>
      </c>
      <c r="O188" s="472">
        <v>1945.5835796928918</v>
      </c>
    </row>
    <row r="189" spans="1:15">
      <c r="A189" s="472">
        <v>6</v>
      </c>
      <c r="C189" s="472">
        <f>IF(E189=E188,C188+1,1)</f>
        <v>44</v>
      </c>
      <c r="D189" s="472">
        <f>IF(K189=K188,D188,C189)</f>
        <v>44</v>
      </c>
      <c r="E189" s="472">
        <f>10+VALUE(RIGHT(LEFT(G189,3),1))</f>
        <v>15</v>
      </c>
      <c r="F189" s="472" t="str">
        <f>RIGHT(G189,2) &amp; IF(A189&lt;2,"x","")</f>
        <v>pm</v>
      </c>
      <c r="G189" s="472" t="s">
        <v>888</v>
      </c>
      <c r="H189" s="472" t="s">
        <v>386</v>
      </c>
      <c r="I189" s="472" t="s">
        <v>889</v>
      </c>
      <c r="K189" s="473">
        <f>LOOKUP(1E+100,M189:AC189)</f>
        <v>1899.8845696374212</v>
      </c>
      <c r="M189" s="473">
        <v>2000</v>
      </c>
      <c r="O189" s="472">
        <v>1899.8845696374212</v>
      </c>
    </row>
    <row r="190" spans="1:15">
      <c r="A190" s="472">
        <v>2</v>
      </c>
      <c r="C190" s="472">
        <f>IF(E190=E189,C189+1,1)</f>
        <v>1</v>
      </c>
      <c r="D190" s="472">
        <f>IF(K190=K189,D189,C190)</f>
        <v>1</v>
      </c>
      <c r="E190" s="472">
        <f>10+VALUE(RIGHT(LEFT(G190,3),1))</f>
        <v>16</v>
      </c>
      <c r="F190" s="472" t="str">
        <f>RIGHT(G190,2) &amp; IF(A190&lt;2,"x","")</f>
        <v>pm</v>
      </c>
      <c r="G190" s="472" t="s">
        <v>922</v>
      </c>
      <c r="H190" s="472" t="s">
        <v>370</v>
      </c>
      <c r="I190" s="472" t="s">
        <v>923</v>
      </c>
      <c r="K190" s="473">
        <f>LOOKUP(1E+100,M190:AC190)</f>
        <v>2733.5481451312226</v>
      </c>
      <c r="M190" s="473">
        <v>2600</v>
      </c>
      <c r="N190" s="472">
        <v>2733.5481451312226</v>
      </c>
    </row>
    <row r="191" spans="1:15">
      <c r="A191" s="472">
        <v>3</v>
      </c>
      <c r="C191" s="472">
        <f>IF(E191=E190,C190+1,1)</f>
        <v>2</v>
      </c>
      <c r="D191" s="472">
        <f>IF(K191=K190,D190,C191)</f>
        <v>2</v>
      </c>
      <c r="E191" s="472">
        <f>10+VALUE(RIGHT(LEFT(G191,3),1))</f>
        <v>16</v>
      </c>
      <c r="F191" s="472" t="str">
        <f>RIGHT(G191,2) &amp; IF(A191&lt;2,"x","")</f>
        <v>pm</v>
      </c>
      <c r="G191" s="472" t="s">
        <v>967</v>
      </c>
      <c r="H191" s="472" t="s">
        <v>654</v>
      </c>
      <c r="I191" s="472" t="s">
        <v>968</v>
      </c>
      <c r="K191" s="473">
        <f>LOOKUP(1E+100,M191:AC191)</f>
        <v>2727.3143647802945</v>
      </c>
      <c r="M191" s="473">
        <v>2600</v>
      </c>
      <c r="N191" s="472">
        <v>2622.9403095455273</v>
      </c>
      <c r="O191" s="472">
        <v>2727.3143647802945</v>
      </c>
    </row>
    <row r="192" spans="1:15">
      <c r="A192" s="472">
        <v>2</v>
      </c>
      <c r="C192" s="472">
        <f>IF(E192=E191,C191+1,1)</f>
        <v>3</v>
      </c>
      <c r="D192" s="472">
        <f>IF(K192=K191,D191,C192)</f>
        <v>3</v>
      </c>
      <c r="E192" s="472">
        <f>10+VALUE(RIGHT(LEFT(G192,3),1))</f>
        <v>16</v>
      </c>
      <c r="F192" s="472" t="str">
        <f>RIGHT(G192,2) &amp; IF(A192&lt;2,"x","")</f>
        <v>pm</v>
      </c>
      <c r="G192" s="472" t="s">
        <v>912</v>
      </c>
      <c r="H192" s="472" t="s">
        <v>86</v>
      </c>
      <c r="I192" s="472" t="s">
        <v>913</v>
      </c>
      <c r="K192" s="473">
        <f>LOOKUP(1E+100,M192:AC192)</f>
        <v>2700</v>
      </c>
      <c r="M192" s="473">
        <v>2700</v>
      </c>
    </row>
    <row r="193" spans="1:15">
      <c r="A193" s="472">
        <v>2</v>
      </c>
      <c r="C193" s="472">
        <f>IF(E193=E192,C192+1,1)</f>
        <v>4</v>
      </c>
      <c r="D193" s="472">
        <f>IF(K193=K192,D192,C193)</f>
        <v>4</v>
      </c>
      <c r="E193" s="472">
        <f>10+VALUE(RIGHT(LEFT(G193,3),1))</f>
        <v>16</v>
      </c>
      <c r="F193" s="472" t="str">
        <f>RIGHT(G193,2) &amp; IF(A193&lt;2,"x","")</f>
        <v>pm</v>
      </c>
      <c r="G193" s="472" t="s">
        <v>952</v>
      </c>
      <c r="H193" s="472" t="s">
        <v>501</v>
      </c>
      <c r="I193" s="472" t="s">
        <v>953</v>
      </c>
      <c r="K193" s="473">
        <f>LOOKUP(1E+100,M193:AC193)</f>
        <v>2693.2412396436735</v>
      </c>
      <c r="M193" s="473">
        <v>2600</v>
      </c>
      <c r="N193" s="472">
        <v>2693.2412396436735</v>
      </c>
    </row>
    <row r="194" spans="1:15">
      <c r="A194" s="472">
        <v>4</v>
      </c>
      <c r="C194" s="472">
        <f>IF(E194=E193,C193+1,1)</f>
        <v>5</v>
      </c>
      <c r="D194" s="472">
        <f>IF(K194=K193,D193,C194)</f>
        <v>5</v>
      </c>
      <c r="E194" s="472">
        <f>10+VALUE(RIGHT(LEFT(G194,3),1))</f>
        <v>16</v>
      </c>
      <c r="F194" s="472" t="str">
        <f>RIGHT(G194,2) &amp; IF(A194&lt;2,"x","")</f>
        <v>pm</v>
      </c>
      <c r="G194" s="472" t="s">
        <v>938</v>
      </c>
      <c r="H194" s="472" t="s">
        <v>799</v>
      </c>
      <c r="I194" s="472" t="s">
        <v>939</v>
      </c>
      <c r="K194" s="473">
        <f>LOOKUP(1E+100,M194:AC194)</f>
        <v>2611.7110371533245</v>
      </c>
      <c r="M194" s="473">
        <v>2600</v>
      </c>
      <c r="N194" s="472">
        <v>2611.7110371533245</v>
      </c>
    </row>
    <row r="195" spans="1:15">
      <c r="A195" s="472">
        <v>2</v>
      </c>
      <c r="C195" s="472">
        <f>IF(E195=E194,C194+1,1)</f>
        <v>6</v>
      </c>
      <c r="D195" s="472">
        <f>IF(K195=K194,D194,C195)</f>
        <v>6</v>
      </c>
      <c r="E195" s="472">
        <f>10+VALUE(RIGHT(LEFT(G195,3),1))</f>
        <v>16</v>
      </c>
      <c r="F195" s="472" t="str">
        <f>RIGHT(G195,2) &amp; IF(A195&lt;2,"x","")</f>
        <v>pm</v>
      </c>
      <c r="G195" s="472" t="s">
        <v>944</v>
      </c>
      <c r="H195" s="472" t="s">
        <v>154</v>
      </c>
      <c r="I195" s="472" t="s">
        <v>945</v>
      </c>
      <c r="K195" s="473">
        <f>LOOKUP(1E+100,M195:AC195)</f>
        <v>2600</v>
      </c>
      <c r="M195" s="473">
        <v>2600</v>
      </c>
    </row>
    <row r="196" spans="1:15">
      <c r="A196" s="472">
        <v>2</v>
      </c>
      <c r="C196" s="472">
        <f>IF(E196=E195,C195+1,1)</f>
        <v>7</v>
      </c>
      <c r="D196" s="472">
        <f>IF(K196=K195,D195,C196)</f>
        <v>6</v>
      </c>
      <c r="E196" s="472">
        <f>10+VALUE(RIGHT(LEFT(G196,3),1))</f>
        <v>16</v>
      </c>
      <c r="F196" s="472" t="str">
        <f>RIGHT(G196,2) &amp; IF(A196&lt;2,"x","")</f>
        <v>pm</v>
      </c>
      <c r="G196" s="472" t="s">
        <v>946</v>
      </c>
      <c r="H196" s="472" t="s">
        <v>154</v>
      </c>
      <c r="I196" s="472" t="s">
        <v>947</v>
      </c>
      <c r="K196" s="473">
        <f>LOOKUP(1E+100,M196:AC196)</f>
        <v>2600</v>
      </c>
      <c r="M196" s="473">
        <v>2600</v>
      </c>
    </row>
    <row r="197" spans="1:15">
      <c r="A197" s="472">
        <v>2</v>
      </c>
      <c r="C197" s="472">
        <f>IF(E197=E196,C196+1,1)</f>
        <v>8</v>
      </c>
      <c r="D197" s="472">
        <f>IF(K197=K196,D196,C197)</f>
        <v>6</v>
      </c>
      <c r="E197" s="472">
        <f>10+VALUE(RIGHT(LEFT(G197,3),1))</f>
        <v>16</v>
      </c>
      <c r="F197" s="472" t="str">
        <f>RIGHT(G197,2) &amp; IF(A197&lt;2,"x","")</f>
        <v>pm</v>
      </c>
      <c r="G197" s="472" t="s">
        <v>948</v>
      </c>
      <c r="H197" s="472" t="s">
        <v>154</v>
      </c>
      <c r="I197" s="472" t="s">
        <v>949</v>
      </c>
      <c r="K197" s="473">
        <f>LOOKUP(1E+100,M197:AC197)</f>
        <v>2600</v>
      </c>
      <c r="M197" s="473">
        <v>2600</v>
      </c>
    </row>
    <row r="198" spans="1:15">
      <c r="A198" s="472">
        <v>4</v>
      </c>
      <c r="C198" s="472">
        <f>IF(E198=E197,C197+1,1)</f>
        <v>9</v>
      </c>
      <c r="D198" s="472">
        <f>IF(K198=K197,D197,C198)</f>
        <v>6</v>
      </c>
      <c r="E198" s="472">
        <f>10+VALUE(RIGHT(LEFT(G198,3),1))</f>
        <v>16</v>
      </c>
      <c r="F198" s="472" t="str">
        <f>RIGHT(G198,2) &amp; IF(A198&lt;2,"x","")</f>
        <v>pm</v>
      </c>
      <c r="G198" s="472" t="s">
        <v>954</v>
      </c>
      <c r="H198" s="472" t="s">
        <v>86</v>
      </c>
      <c r="I198" s="472" t="s">
        <v>955</v>
      </c>
      <c r="K198" s="473">
        <f>LOOKUP(1E+100,M198:AC198)</f>
        <v>2600</v>
      </c>
      <c r="M198" s="473">
        <v>2600</v>
      </c>
    </row>
    <row r="199" spans="1:15">
      <c r="A199" s="472">
        <v>2</v>
      </c>
      <c r="C199" s="472">
        <f>IF(E199=E198,C198+1,1)</f>
        <v>10</v>
      </c>
      <c r="D199" s="472">
        <f>IF(K199=K198,D198,C199)</f>
        <v>6</v>
      </c>
      <c r="E199" s="472">
        <f>10+VALUE(RIGHT(LEFT(G199,3),1))</f>
        <v>16</v>
      </c>
      <c r="F199" s="472" t="str">
        <f>RIGHT(G199,2) &amp; IF(A199&lt;2,"x","")</f>
        <v>pm</v>
      </c>
      <c r="G199" s="472" t="s">
        <v>958</v>
      </c>
      <c r="H199" s="472" t="s">
        <v>416</v>
      </c>
      <c r="I199" s="472" t="s">
        <v>959</v>
      </c>
      <c r="K199" s="473">
        <f>LOOKUP(1E+100,M199:AC199)</f>
        <v>2600</v>
      </c>
      <c r="M199" s="473">
        <v>2600</v>
      </c>
    </row>
    <row r="200" spans="1:15">
      <c r="A200" s="472">
        <v>3</v>
      </c>
      <c r="C200" s="472">
        <f>IF(E200=E199,C199+1,1)</f>
        <v>11</v>
      </c>
      <c r="D200" s="472">
        <f>IF(K200=K199,D199,C200)</f>
        <v>6</v>
      </c>
      <c r="E200" s="472">
        <f>10+VALUE(RIGHT(LEFT(G200,3),1))</f>
        <v>16</v>
      </c>
      <c r="F200" s="472" t="str">
        <f>RIGHT(G200,2) &amp; IF(A200&lt;2,"x","")</f>
        <v>pm</v>
      </c>
      <c r="G200" s="472" t="s">
        <v>977</v>
      </c>
      <c r="H200" s="472" t="s">
        <v>483</v>
      </c>
      <c r="I200" s="472" t="s">
        <v>978</v>
      </c>
      <c r="K200" s="473">
        <f>LOOKUP(1E+100,M200:AC200)</f>
        <v>2600</v>
      </c>
      <c r="M200" s="473">
        <v>2600</v>
      </c>
    </row>
    <row r="201" spans="1:15">
      <c r="A201" s="472">
        <v>4</v>
      </c>
      <c r="C201" s="472">
        <f>IF(E201=E200,C200+1,1)</f>
        <v>12</v>
      </c>
      <c r="D201" s="472">
        <f>IF(K201=K200,D200,C201)</f>
        <v>12</v>
      </c>
      <c r="E201" s="472">
        <f>10+VALUE(RIGHT(LEFT(G201,3),1))</f>
        <v>16</v>
      </c>
      <c r="F201" s="472" t="str">
        <f>RIGHT(G201,2) &amp; IF(A201&lt;2,"x","")</f>
        <v>pm</v>
      </c>
      <c r="G201" s="472" t="s">
        <v>928</v>
      </c>
      <c r="H201" s="472" t="s">
        <v>383</v>
      </c>
      <c r="I201" s="472" t="s">
        <v>929</v>
      </c>
      <c r="K201" s="473">
        <f>LOOKUP(1E+100,M201:AC201)</f>
        <v>2579.1327115348799</v>
      </c>
      <c r="M201" s="473">
        <v>2600</v>
      </c>
      <c r="N201" s="472">
        <v>2579.1327115348799</v>
      </c>
    </row>
    <row r="202" spans="1:15">
      <c r="A202" s="472">
        <v>6</v>
      </c>
      <c r="C202" s="472">
        <f>IF(E202=E201,C201+1,1)</f>
        <v>13</v>
      </c>
      <c r="D202" s="472">
        <f>IF(K202=K201,D201,C202)</f>
        <v>13</v>
      </c>
      <c r="E202" s="472">
        <f>10+VALUE(RIGHT(LEFT(G202,3),1))</f>
        <v>16</v>
      </c>
      <c r="F202" s="472" t="str">
        <f>RIGHT(G202,2) &amp; IF(A202&lt;2,"x","")</f>
        <v>pm</v>
      </c>
      <c r="G202" s="472" t="s">
        <v>930</v>
      </c>
      <c r="H202" s="472" t="s">
        <v>386</v>
      </c>
      <c r="I202" s="472" t="s">
        <v>931</v>
      </c>
      <c r="K202" s="473">
        <f>LOOKUP(1E+100,M202:AC202)</f>
        <v>2557.2310207697242</v>
      </c>
      <c r="M202" s="473">
        <v>2600</v>
      </c>
      <c r="N202" s="472">
        <v>2557.2310207697242</v>
      </c>
    </row>
    <row r="203" spans="1:15">
      <c r="A203" s="472">
        <v>2</v>
      </c>
      <c r="C203" s="472">
        <f>IF(E203=E202,C202+1,1)</f>
        <v>14</v>
      </c>
      <c r="D203" s="472">
        <f>IF(K203=K202,D202,C203)</f>
        <v>14</v>
      </c>
      <c r="E203" s="472">
        <f>10+VALUE(RIGHT(LEFT(G203,3),1))</f>
        <v>16</v>
      </c>
      <c r="F203" s="472" t="str">
        <f>RIGHT(G203,2) &amp; IF(A203&lt;2,"x","")</f>
        <v>pm</v>
      </c>
      <c r="G203" s="472" t="s">
        <v>932</v>
      </c>
      <c r="H203" s="472" t="s">
        <v>391</v>
      </c>
      <c r="I203" s="472" t="s">
        <v>933</v>
      </c>
      <c r="K203" s="473">
        <f>LOOKUP(1E+100,M203:AC203)</f>
        <v>2547.448427057398</v>
      </c>
      <c r="M203" s="473">
        <v>2600</v>
      </c>
      <c r="N203" s="472">
        <v>2547.448427057398</v>
      </c>
    </row>
    <row r="204" spans="1:15">
      <c r="A204" s="472">
        <v>4</v>
      </c>
      <c r="C204" s="472">
        <f>IF(E204=E203,C203+1,1)</f>
        <v>15</v>
      </c>
      <c r="D204" s="472">
        <f>IF(K204=K203,D203,C204)</f>
        <v>15</v>
      </c>
      <c r="E204" s="472">
        <f>10+VALUE(RIGHT(LEFT(G204,3),1))</f>
        <v>16</v>
      </c>
      <c r="F204" s="472" t="str">
        <f>RIGHT(G204,2) &amp; IF(A204&lt;2,"x","")</f>
        <v>pm</v>
      </c>
      <c r="G204" s="472" t="s">
        <v>914</v>
      </c>
      <c r="H204" s="472" t="s">
        <v>123</v>
      </c>
      <c r="I204" s="472" t="s">
        <v>915</v>
      </c>
      <c r="K204" s="473">
        <f>LOOKUP(1E+100,M204:AC204)</f>
        <v>2541.8096327890298</v>
      </c>
      <c r="M204" s="473">
        <v>2600</v>
      </c>
      <c r="N204" s="472">
        <v>2541.8096327890298</v>
      </c>
    </row>
    <row r="205" spans="1:15">
      <c r="A205" s="472">
        <v>4</v>
      </c>
      <c r="C205" s="472">
        <f>IF(E205=E204,C204+1,1)</f>
        <v>16</v>
      </c>
      <c r="D205" s="472">
        <f>IF(K205=K204,D204,C205)</f>
        <v>16</v>
      </c>
      <c r="E205" s="472">
        <f>10+VALUE(RIGHT(LEFT(G205,3),1))</f>
        <v>16</v>
      </c>
      <c r="F205" s="472" t="str">
        <f>RIGHT(G205,2) &amp; IF(A205&lt;2,"x","")</f>
        <v>pm</v>
      </c>
      <c r="G205" s="472" t="s">
        <v>926</v>
      </c>
      <c r="H205" s="472" t="s">
        <v>331</v>
      </c>
      <c r="I205" s="472" t="s">
        <v>927</v>
      </c>
      <c r="K205" s="473">
        <f>LOOKUP(1E+100,M205:AC205)</f>
        <v>2526.5213768802482</v>
      </c>
      <c r="M205" s="473">
        <v>2600</v>
      </c>
      <c r="N205" s="472">
        <v>2526.5213768802482</v>
      </c>
    </row>
    <row r="206" spans="1:15">
      <c r="A206" s="472">
        <v>4</v>
      </c>
      <c r="C206" s="472">
        <f>IF(E206=E205,C205+1,1)</f>
        <v>17</v>
      </c>
      <c r="D206" s="472">
        <f>IF(K206=K205,D205,C206)</f>
        <v>17</v>
      </c>
      <c r="E206" s="472">
        <f>10+VALUE(RIGHT(LEFT(G206,3),1))</f>
        <v>16</v>
      </c>
      <c r="F206" s="472" t="str">
        <f>RIGHT(G206,2) &amp; IF(A206&lt;2,"x","")</f>
        <v>pm</v>
      </c>
      <c r="G206" s="472" t="s">
        <v>969</v>
      </c>
      <c r="H206" s="472" t="s">
        <v>654</v>
      </c>
      <c r="I206" s="472" t="s">
        <v>970</v>
      </c>
      <c r="K206" s="473">
        <f>LOOKUP(1E+100,M206:AC206)</f>
        <v>2521.2497172214998</v>
      </c>
      <c r="M206" s="473">
        <v>2600</v>
      </c>
      <c r="N206" s="472">
        <v>2521.2497172214998</v>
      </c>
    </row>
    <row r="207" spans="1:15">
      <c r="A207" s="472">
        <v>7</v>
      </c>
      <c r="C207" s="472">
        <f>IF(E207=E206,C206+1,1)</f>
        <v>18</v>
      </c>
      <c r="D207" s="472">
        <f>IF(K207=K206,D206,C207)</f>
        <v>18</v>
      </c>
      <c r="E207" s="472">
        <f>10+VALUE(RIGHT(LEFT(G207,3),1))</f>
        <v>16</v>
      </c>
      <c r="F207" s="472" t="str">
        <f>RIGHT(G207,2) &amp; IF(A207&lt;2,"x","")</f>
        <v>pm</v>
      </c>
      <c r="G207" s="472" t="s">
        <v>979</v>
      </c>
      <c r="H207" s="472" t="s">
        <v>512</v>
      </c>
      <c r="I207" s="472" t="s">
        <v>980</v>
      </c>
      <c r="K207" s="473">
        <f>LOOKUP(1E+100,M207:AC207)</f>
        <v>2497.3163076923242</v>
      </c>
      <c r="M207" s="473">
        <v>2571.4285714285716</v>
      </c>
      <c r="N207" s="472">
        <v>2497.3163076923242</v>
      </c>
    </row>
    <row r="208" spans="1:15">
      <c r="A208" s="472">
        <v>4</v>
      </c>
      <c r="C208" s="472">
        <f>IF(E208=E207,C207+1,1)</f>
        <v>19</v>
      </c>
      <c r="D208" s="472">
        <f>IF(K208=K207,D207,C208)</f>
        <v>19</v>
      </c>
      <c r="E208" s="472">
        <f>10+VALUE(RIGHT(LEFT(G208,3),1))</f>
        <v>16</v>
      </c>
      <c r="F208" s="472" t="str">
        <f>RIGHT(G208,2) &amp; IF(A208&lt;2,"x","")</f>
        <v>pm</v>
      </c>
      <c r="G208" s="472" t="s">
        <v>981</v>
      </c>
      <c r="H208" s="472" t="s">
        <v>402</v>
      </c>
      <c r="I208" s="472" t="s">
        <v>982</v>
      </c>
      <c r="K208" s="473">
        <f>LOOKUP(1E+100,M208:AC208)</f>
        <v>2471.3499188774426</v>
      </c>
      <c r="M208" s="473">
        <v>2550</v>
      </c>
      <c r="O208" s="472">
        <v>2471.3499188774426</v>
      </c>
    </row>
    <row r="209" spans="1:15">
      <c r="A209" s="472">
        <v>5</v>
      </c>
      <c r="C209" s="472">
        <f>IF(E209=E208,C208+1,1)</f>
        <v>20</v>
      </c>
      <c r="D209" s="472">
        <f>IF(K209=K208,D208,C209)</f>
        <v>20</v>
      </c>
      <c r="E209" s="472">
        <f>10+VALUE(RIGHT(LEFT(G209,3),1))</f>
        <v>16</v>
      </c>
      <c r="F209" s="472" t="str">
        <f>RIGHT(G209,2) &amp; IF(A209&lt;2,"x","")</f>
        <v>pm</v>
      </c>
      <c r="G209" s="472" t="s">
        <v>987</v>
      </c>
      <c r="H209" s="472" t="s">
        <v>337</v>
      </c>
      <c r="I209" s="472" t="s">
        <v>988</v>
      </c>
      <c r="K209" s="473">
        <f>LOOKUP(1E+100,M209:AC209)</f>
        <v>2444.6903233816761</v>
      </c>
      <c r="M209" s="473">
        <v>2360</v>
      </c>
      <c r="O209" s="472">
        <v>2444.6903233816761</v>
      </c>
    </row>
    <row r="210" spans="1:15">
      <c r="A210" s="472">
        <v>3</v>
      </c>
      <c r="C210" s="472">
        <f>IF(E210=E209,C209+1,1)</f>
        <v>21</v>
      </c>
      <c r="D210" s="472">
        <f>IF(K210=K209,D209,C210)</f>
        <v>21</v>
      </c>
      <c r="E210" s="472">
        <f>10+VALUE(RIGHT(LEFT(G210,3),1))</f>
        <v>16</v>
      </c>
      <c r="F210" s="472" t="str">
        <f>RIGHT(G210,2) &amp; IF(A210&lt;2,"x","")</f>
        <v>pm</v>
      </c>
      <c r="G210" s="472" t="s">
        <v>985</v>
      </c>
      <c r="H210" s="472" t="s">
        <v>408</v>
      </c>
      <c r="I210" s="472" t="s">
        <v>986</v>
      </c>
      <c r="K210" s="473">
        <f>LOOKUP(1E+100,M210:AC210)</f>
        <v>2435.20783882963</v>
      </c>
      <c r="M210" s="473">
        <v>2466.6666666666665</v>
      </c>
      <c r="O210" s="472">
        <v>2435.20783882963</v>
      </c>
    </row>
    <row r="211" spans="1:15">
      <c r="A211" s="472">
        <v>6</v>
      </c>
      <c r="C211" s="472">
        <f>IF(E211=E210,C210+1,1)</f>
        <v>22</v>
      </c>
      <c r="D211" s="472">
        <f>IF(K211=K210,D210,C211)</f>
        <v>22</v>
      </c>
      <c r="E211" s="472">
        <f>10+VALUE(RIGHT(LEFT(G211,3),1))</f>
        <v>16</v>
      </c>
      <c r="F211" s="472" t="str">
        <f>RIGHT(G211,2) &amp; IF(A211&lt;2,"x","")</f>
        <v>pm</v>
      </c>
      <c r="G211" s="472" t="s">
        <v>983</v>
      </c>
      <c r="H211" s="472" t="s">
        <v>386</v>
      </c>
      <c r="I211" s="472" t="s">
        <v>984</v>
      </c>
      <c r="K211" s="473">
        <f>LOOKUP(1E+100,M211:AC211)</f>
        <v>2411.485729701677</v>
      </c>
      <c r="M211" s="473">
        <v>2533.3333333333335</v>
      </c>
      <c r="O211" s="472">
        <v>2411.485729701677</v>
      </c>
    </row>
    <row r="212" spans="1:15">
      <c r="A212" s="472">
        <v>5</v>
      </c>
      <c r="C212" s="472">
        <f>IF(E212=E211,C211+1,1)</f>
        <v>23</v>
      </c>
      <c r="D212" s="472">
        <f>IF(K212=K211,D211,C212)</f>
        <v>23</v>
      </c>
      <c r="E212" s="472">
        <f>10+VALUE(RIGHT(LEFT(G212,3),1))</f>
        <v>16</v>
      </c>
      <c r="F212" s="472" t="str">
        <f>RIGHT(G212,2) &amp; IF(A212&lt;2,"x","")</f>
        <v>pm</v>
      </c>
      <c r="G212" s="472" t="s">
        <v>989</v>
      </c>
      <c r="H212" s="472" t="s">
        <v>990</v>
      </c>
      <c r="I212" s="472" t="s">
        <v>991</v>
      </c>
      <c r="K212" s="473">
        <f>LOOKUP(1E+100,M212:AC212)</f>
        <v>2281.9805420730331</v>
      </c>
      <c r="M212" s="473">
        <v>2320</v>
      </c>
      <c r="O212" s="472">
        <v>2281.9805420730331</v>
      </c>
    </row>
    <row r="213" spans="1:15">
      <c r="A213" s="472">
        <v>5</v>
      </c>
      <c r="C213" s="472">
        <f>IF(E213=E212,C212+1,1)</f>
        <v>24</v>
      </c>
      <c r="D213" s="472">
        <f>IF(K213=K212,D212,C213)</f>
        <v>24</v>
      </c>
      <c r="E213" s="472">
        <f>10+VALUE(RIGHT(LEFT(G213,3),1))</f>
        <v>16</v>
      </c>
      <c r="F213" s="472" t="str">
        <f>RIGHT(G213,2) &amp; IF(A213&lt;2,"x","")</f>
        <v>pm</v>
      </c>
      <c r="G213" s="472" t="s">
        <v>992</v>
      </c>
      <c r="H213" s="472" t="s">
        <v>671</v>
      </c>
      <c r="I213" s="472" t="s">
        <v>993</v>
      </c>
      <c r="K213" s="473">
        <f>LOOKUP(1E+100,M213:AC213)</f>
        <v>2254.6722447846205</v>
      </c>
      <c r="M213" s="473">
        <v>2200</v>
      </c>
      <c r="O213" s="472">
        <v>2254.6722447846205</v>
      </c>
    </row>
    <row r="214" spans="1:15">
      <c r="A214" s="472">
        <v>5</v>
      </c>
      <c r="C214" s="472">
        <f>IF(E214=E213,C213+1,1)</f>
        <v>25</v>
      </c>
      <c r="D214" s="472">
        <f>IF(K214=K213,D213,C214)</f>
        <v>25</v>
      </c>
      <c r="E214" s="472">
        <f>10+VALUE(RIGHT(LEFT(G214,3),1))</f>
        <v>16</v>
      </c>
      <c r="F214" s="472" t="str">
        <f>RIGHT(G214,2) &amp; IF(A214&lt;2,"x","")</f>
        <v>pm</v>
      </c>
      <c r="G214" s="472" t="s">
        <v>1014</v>
      </c>
      <c r="H214" s="472" t="s">
        <v>86</v>
      </c>
      <c r="I214" s="472" t="s">
        <v>1015</v>
      </c>
      <c r="K214" s="473">
        <f>LOOKUP(1E+100,M214:AC214)</f>
        <v>2200</v>
      </c>
      <c r="M214" s="473">
        <v>2200</v>
      </c>
    </row>
    <row r="215" spans="1:15">
      <c r="A215" s="472">
        <v>5</v>
      </c>
      <c r="C215" s="472">
        <f>IF(E215=E214,C214+1,1)</f>
        <v>26</v>
      </c>
      <c r="D215" s="472">
        <f>IF(K215=K214,D214,C215)</f>
        <v>25</v>
      </c>
      <c r="E215" s="472">
        <f>10+VALUE(RIGHT(LEFT(G215,3),1))</f>
        <v>16</v>
      </c>
      <c r="F215" s="472" t="str">
        <f>RIGHT(G215,2) &amp; IF(A215&lt;2,"x","")</f>
        <v>pm</v>
      </c>
      <c r="G215" s="472" t="s">
        <v>1016</v>
      </c>
      <c r="H215" s="472" t="s">
        <v>86</v>
      </c>
      <c r="I215" s="472" t="s">
        <v>1017</v>
      </c>
      <c r="K215" s="473">
        <f>LOOKUP(1E+100,M215:AC215)</f>
        <v>2200</v>
      </c>
      <c r="M215" s="473">
        <v>2200</v>
      </c>
    </row>
    <row r="216" spans="1:15">
      <c r="A216" s="472">
        <v>3</v>
      </c>
      <c r="C216" s="472">
        <f>IF(E216=E215,C215+1,1)</f>
        <v>27</v>
      </c>
      <c r="D216" s="472">
        <f>IF(K216=K215,D215,C216)</f>
        <v>25</v>
      </c>
      <c r="E216" s="472">
        <f>10+VALUE(RIGHT(LEFT(G216,3),1))</f>
        <v>16</v>
      </c>
      <c r="F216" s="472" t="str">
        <f>RIGHT(G216,2) &amp; IF(A216&lt;2,"x","")</f>
        <v>pm</v>
      </c>
      <c r="G216" s="472" t="s">
        <v>1018</v>
      </c>
      <c r="H216" s="472" t="s">
        <v>117</v>
      </c>
      <c r="I216" s="472" t="s">
        <v>1019</v>
      </c>
      <c r="K216" s="473">
        <f>LOOKUP(1E+100,M216:AC216)</f>
        <v>2200</v>
      </c>
      <c r="M216" s="473">
        <v>2200</v>
      </c>
    </row>
    <row r="217" spans="1:15">
      <c r="A217" s="472">
        <v>5</v>
      </c>
      <c r="C217" s="472">
        <f>IF(E217=E216,C216+1,1)</f>
        <v>28</v>
      </c>
      <c r="D217" s="472">
        <f>IF(K217=K216,D216,C217)</f>
        <v>25</v>
      </c>
      <c r="E217" s="472">
        <f>10+VALUE(RIGHT(LEFT(G217,3),1))</f>
        <v>16</v>
      </c>
      <c r="F217" s="472" t="str">
        <f>RIGHT(G217,2) &amp; IF(A217&lt;2,"x","")</f>
        <v>pm</v>
      </c>
      <c r="G217" s="472" t="s">
        <v>1023</v>
      </c>
      <c r="H217" s="472" t="s">
        <v>579</v>
      </c>
      <c r="I217" s="472" t="s">
        <v>1024</v>
      </c>
      <c r="K217" s="473">
        <f>LOOKUP(1E+100,M217:AC217)</f>
        <v>2200</v>
      </c>
      <c r="M217" s="473">
        <v>2200</v>
      </c>
    </row>
    <row r="218" spans="1:15">
      <c r="A218" s="472">
        <v>5</v>
      </c>
      <c r="C218" s="472">
        <f>IF(E218=E217,C217+1,1)</f>
        <v>29</v>
      </c>
      <c r="D218" s="472">
        <f>IF(K218=K217,D217,C218)</f>
        <v>25</v>
      </c>
      <c r="E218" s="472">
        <f>10+VALUE(RIGHT(LEFT(G218,3),1))</f>
        <v>16</v>
      </c>
      <c r="F218" s="472" t="str">
        <f>RIGHT(G218,2) &amp; IF(A218&lt;2,"x","")</f>
        <v>pm</v>
      </c>
      <c r="G218" s="472" t="s">
        <v>1025</v>
      </c>
      <c r="H218" s="472" t="s">
        <v>579</v>
      </c>
      <c r="I218" s="472" t="s">
        <v>1026</v>
      </c>
      <c r="K218" s="473">
        <f>LOOKUP(1E+100,M218:AC218)</f>
        <v>2200</v>
      </c>
      <c r="M218" s="473">
        <v>2200</v>
      </c>
    </row>
    <row r="219" spans="1:15">
      <c r="A219" s="472">
        <v>4</v>
      </c>
      <c r="C219" s="472">
        <f>IF(E219=E218,C218+1,1)</f>
        <v>30</v>
      </c>
      <c r="D219" s="472">
        <f>IF(K219=K218,D218,C219)</f>
        <v>25</v>
      </c>
      <c r="E219" s="472">
        <f>10+VALUE(RIGHT(LEFT(G219,3),1))</f>
        <v>16</v>
      </c>
      <c r="F219" s="472" t="str">
        <f>RIGHT(G219,2) &amp; IF(A219&lt;2,"x","")</f>
        <v>pm</v>
      </c>
      <c r="G219" s="472" t="s">
        <v>1033</v>
      </c>
      <c r="H219" s="472" t="s">
        <v>483</v>
      </c>
      <c r="I219" s="472" t="s">
        <v>1034</v>
      </c>
      <c r="K219" s="473">
        <f>LOOKUP(1E+100,M219:AC219)</f>
        <v>2200</v>
      </c>
      <c r="M219" s="473">
        <v>2200</v>
      </c>
    </row>
    <row r="220" spans="1:15">
      <c r="A220" s="472">
        <v>6</v>
      </c>
      <c r="C220" s="472">
        <f>IF(E220=E219,C219+1,1)</f>
        <v>31</v>
      </c>
      <c r="D220" s="472">
        <f>IF(K220=K219,D219,C220)</f>
        <v>31</v>
      </c>
      <c r="E220" s="472">
        <f>10+VALUE(RIGHT(LEFT(G220,3),1))</f>
        <v>16</v>
      </c>
      <c r="F220" s="472" t="str">
        <f>RIGHT(G220,2) &amp; IF(A220&lt;2,"x","")</f>
        <v>pm</v>
      </c>
      <c r="G220" s="472" t="s">
        <v>996</v>
      </c>
      <c r="H220" s="472" t="s">
        <v>386</v>
      </c>
      <c r="I220" s="472" t="s">
        <v>997</v>
      </c>
      <c r="K220" s="473">
        <f>LOOKUP(1E+100,M220:AC220)</f>
        <v>2151.4067918374999</v>
      </c>
      <c r="M220" s="473">
        <v>2200</v>
      </c>
      <c r="O220" s="472">
        <v>2151.4067918374999</v>
      </c>
    </row>
    <row r="221" spans="1:15">
      <c r="A221" s="472">
        <v>2</v>
      </c>
      <c r="C221" s="472">
        <f>IF(E221=E220,C220+1,1)</f>
        <v>1</v>
      </c>
      <c r="D221" s="472">
        <f>IF(K221=K220,D220,C221)</f>
        <v>1</v>
      </c>
      <c r="E221" s="472">
        <f>10+VALUE(RIGHT(LEFT(G221,3),1))</f>
        <v>17</v>
      </c>
      <c r="F221" s="472" t="str">
        <f>RIGHT(G221,2) &amp; IF(A221&lt;2,"x","")</f>
        <v>pm</v>
      </c>
      <c r="G221" s="472" t="s">
        <v>1086</v>
      </c>
      <c r="H221" s="472" t="s">
        <v>654</v>
      </c>
      <c r="I221" s="472" t="s">
        <v>1087</v>
      </c>
      <c r="K221" s="473">
        <f>LOOKUP(1E+100,M221:AC221)</f>
        <v>2922.5577973738191</v>
      </c>
      <c r="M221" s="473">
        <v>2800</v>
      </c>
      <c r="N221" s="472">
        <v>2922.5577973738191</v>
      </c>
    </row>
    <row r="222" spans="1:15">
      <c r="A222" s="472">
        <v>3</v>
      </c>
      <c r="C222" s="472">
        <f>IF(E222=E221,C221+1,1)</f>
        <v>2</v>
      </c>
      <c r="D222" s="472">
        <f>IF(K222=K221,D221,C222)</f>
        <v>2</v>
      </c>
      <c r="E222" s="472">
        <f>10+VALUE(RIGHT(LEFT(G222,3),1))</f>
        <v>17</v>
      </c>
      <c r="F222" s="472" t="str">
        <f>RIGHT(G222,2) &amp; IF(A222&lt;2,"x","")</f>
        <v>pm</v>
      </c>
      <c r="G222" s="472" t="s">
        <v>1068</v>
      </c>
      <c r="H222" s="472" t="s">
        <v>452</v>
      </c>
      <c r="I222" s="472" t="s">
        <v>1069</v>
      </c>
      <c r="K222" s="473">
        <f>LOOKUP(1E+100,M222:AC222)</f>
        <v>2874.5669843189626</v>
      </c>
      <c r="M222" s="473">
        <v>2800</v>
      </c>
      <c r="N222" s="472">
        <v>2874.5669843189626</v>
      </c>
    </row>
    <row r="223" spans="1:15">
      <c r="A223" s="472">
        <v>4</v>
      </c>
      <c r="C223" s="472">
        <f>IF(E223=E222,C222+1,1)</f>
        <v>3</v>
      </c>
      <c r="D223" s="472">
        <f>IF(K223=K222,D222,C223)</f>
        <v>3</v>
      </c>
      <c r="E223" s="472">
        <f>10+VALUE(RIGHT(LEFT(G223,3),1))</f>
        <v>17</v>
      </c>
      <c r="F223" s="472" t="str">
        <f>RIGHT(G223,2) &amp; IF(A223&lt;2,"x","")</f>
        <v>pm</v>
      </c>
      <c r="G223" s="472" t="s">
        <v>1050</v>
      </c>
      <c r="H223" s="472" t="s">
        <v>331</v>
      </c>
      <c r="I223" s="472" t="s">
        <v>1051</v>
      </c>
      <c r="K223" s="473">
        <f>LOOKUP(1E+100,M223:AC223)</f>
        <v>2871.6284059333157</v>
      </c>
      <c r="M223" s="473">
        <v>2800</v>
      </c>
      <c r="N223" s="472">
        <v>2871.6284059333157</v>
      </c>
    </row>
    <row r="224" spans="1:15">
      <c r="A224" s="472">
        <v>4</v>
      </c>
      <c r="C224" s="472">
        <f>IF(E224=E223,C223+1,1)</f>
        <v>4</v>
      </c>
      <c r="D224" s="472">
        <f>IF(K224=K223,D223,C224)</f>
        <v>4</v>
      </c>
      <c r="E224" s="472">
        <f>10+VALUE(RIGHT(LEFT(G224,3),1))</f>
        <v>17</v>
      </c>
      <c r="F224" s="472" t="str">
        <f>RIGHT(G224,2) &amp; IF(A224&lt;2,"x","")</f>
        <v>pm</v>
      </c>
      <c r="G224" s="472" t="s">
        <v>1048</v>
      </c>
      <c r="H224" s="472" t="s">
        <v>331</v>
      </c>
      <c r="I224" s="472" t="s">
        <v>1049</v>
      </c>
      <c r="K224" s="473">
        <f>LOOKUP(1E+100,M224:AC224)</f>
        <v>2833.6024184475791</v>
      </c>
      <c r="M224" s="473">
        <v>2800</v>
      </c>
      <c r="N224" s="472">
        <v>2833.6024184475791</v>
      </c>
    </row>
    <row r="225" spans="1:15">
      <c r="A225" s="472">
        <v>3</v>
      </c>
      <c r="C225" s="472">
        <f>IF(E225=E224,C224+1,1)</f>
        <v>5</v>
      </c>
      <c r="D225" s="472">
        <f>IF(K225=K224,D224,C225)</f>
        <v>5</v>
      </c>
      <c r="E225" s="472">
        <f>10+VALUE(RIGHT(LEFT(G225,3),1))</f>
        <v>17</v>
      </c>
      <c r="F225" s="472" t="str">
        <f>RIGHT(G225,2) &amp; IF(A225&lt;2,"x","")</f>
        <v>pm</v>
      </c>
      <c r="G225" s="472" t="s">
        <v>1080</v>
      </c>
      <c r="H225" s="472" t="s">
        <v>501</v>
      </c>
      <c r="I225" s="472" t="s">
        <v>1081</v>
      </c>
      <c r="K225" s="473">
        <f>LOOKUP(1E+100,M225:AC225)</f>
        <v>2817.626099057934</v>
      </c>
      <c r="M225" s="473">
        <v>2800</v>
      </c>
      <c r="N225" s="472">
        <v>2817.626099057934</v>
      </c>
    </row>
    <row r="226" spans="1:15">
      <c r="A226" s="472">
        <v>5</v>
      </c>
      <c r="C226" s="472">
        <f>IF(E226=E225,C225+1,1)</f>
        <v>6</v>
      </c>
      <c r="D226" s="472">
        <f>IF(K226=K225,D225,C226)</f>
        <v>6</v>
      </c>
      <c r="E226" s="472">
        <f>10+VALUE(RIGHT(LEFT(G226,3),1))</f>
        <v>17</v>
      </c>
      <c r="F226" s="472" t="str">
        <f>RIGHT(G226,2) &amp; IF(A226&lt;2,"x","")</f>
        <v>pm</v>
      </c>
      <c r="G226" s="472" t="s">
        <v>1059</v>
      </c>
      <c r="H226" s="472" t="s">
        <v>1060</v>
      </c>
      <c r="I226" s="472" t="s">
        <v>1061</v>
      </c>
      <c r="K226" s="473">
        <f>LOOKUP(1E+100,M226:AC226)</f>
        <v>2800</v>
      </c>
      <c r="M226" s="473">
        <v>2800</v>
      </c>
    </row>
    <row r="227" spans="1:15">
      <c r="A227" s="472">
        <v>4</v>
      </c>
      <c r="C227" s="472">
        <f>IF(E227=E226,C226+1,1)</f>
        <v>7</v>
      </c>
      <c r="D227" s="472">
        <f>IF(K227=K226,D226,C227)</f>
        <v>6</v>
      </c>
      <c r="E227" s="472">
        <f>10+VALUE(RIGHT(LEFT(G227,3),1))</f>
        <v>17</v>
      </c>
      <c r="F227" s="472" t="str">
        <f>RIGHT(G227,2) &amp; IF(A227&lt;2,"x","")</f>
        <v>pm</v>
      </c>
      <c r="G227" s="472" t="s">
        <v>1062</v>
      </c>
      <c r="H227" s="472" t="s">
        <v>397</v>
      </c>
      <c r="I227" s="472" t="s">
        <v>1063</v>
      </c>
      <c r="K227" s="473">
        <f>LOOKUP(1E+100,M227:AC227)</f>
        <v>2800</v>
      </c>
      <c r="M227" s="473">
        <v>2800</v>
      </c>
    </row>
    <row r="228" spans="1:15">
      <c r="A228" s="472">
        <v>2</v>
      </c>
      <c r="C228" s="472">
        <f>IF(E228=E227,C227+1,1)</f>
        <v>8</v>
      </c>
      <c r="D228" s="472">
        <f>IF(K228=K227,D227,C228)</f>
        <v>6</v>
      </c>
      <c r="E228" s="472">
        <f>10+VALUE(RIGHT(LEFT(G228,3),1))</f>
        <v>17</v>
      </c>
      <c r="F228" s="472" t="str">
        <f>RIGHT(G228,2) &amp; IF(A228&lt;2,"x","")</f>
        <v>pm</v>
      </c>
      <c r="G228" s="472" t="s">
        <v>1070</v>
      </c>
      <c r="H228" s="472" t="s">
        <v>154</v>
      </c>
      <c r="I228" s="472" t="s">
        <v>1071</v>
      </c>
      <c r="K228" s="473">
        <f>LOOKUP(1E+100,M228:AC228)</f>
        <v>2800</v>
      </c>
      <c r="M228" s="473">
        <v>2800</v>
      </c>
    </row>
    <row r="229" spans="1:15">
      <c r="A229" s="472">
        <v>2</v>
      </c>
      <c r="C229" s="472">
        <f>IF(E229=E228,C228+1,1)</f>
        <v>9</v>
      </c>
      <c r="D229" s="472">
        <f>IF(K229=K228,D228,C229)</f>
        <v>6</v>
      </c>
      <c r="E229" s="472">
        <f>10+VALUE(RIGHT(LEFT(G229,3),1))</f>
        <v>17</v>
      </c>
      <c r="F229" s="472" t="str">
        <f>RIGHT(G229,2) &amp; IF(A229&lt;2,"x","")</f>
        <v>pm</v>
      </c>
      <c r="G229" s="472" t="s">
        <v>1072</v>
      </c>
      <c r="H229" s="472" t="s">
        <v>154</v>
      </c>
      <c r="I229" s="472" t="s">
        <v>1073</v>
      </c>
      <c r="K229" s="473">
        <f>LOOKUP(1E+100,M229:AC229)</f>
        <v>2800</v>
      </c>
      <c r="M229" s="473">
        <v>2800</v>
      </c>
    </row>
    <row r="230" spans="1:15">
      <c r="A230" s="472">
        <v>3</v>
      </c>
      <c r="C230" s="472">
        <f>IF(E230=E229,C229+1,1)</f>
        <v>10</v>
      </c>
      <c r="D230" s="472">
        <f>IF(K230=K229,D229,C230)</f>
        <v>10</v>
      </c>
      <c r="E230" s="472">
        <f>10+VALUE(RIGHT(LEFT(G230,3),1))</f>
        <v>17</v>
      </c>
      <c r="F230" s="472" t="str">
        <f>RIGHT(G230,2) &amp; IF(A230&lt;2,"x","")</f>
        <v>pm</v>
      </c>
      <c r="G230" s="472" t="s">
        <v>1076</v>
      </c>
      <c r="H230" s="472" t="s">
        <v>564</v>
      </c>
      <c r="I230" s="472" t="s">
        <v>1077</v>
      </c>
      <c r="K230" s="473">
        <f>LOOKUP(1E+100,M230:AC230)</f>
        <v>2797.8823937745101</v>
      </c>
      <c r="M230" s="473">
        <v>2800</v>
      </c>
      <c r="N230" s="472">
        <v>2797.8823937745101</v>
      </c>
    </row>
    <row r="231" spans="1:15">
      <c r="A231" s="472">
        <v>5</v>
      </c>
      <c r="C231" s="472">
        <f>IF(E231=E230,C230+1,1)</f>
        <v>11</v>
      </c>
      <c r="D231" s="472">
        <f>IF(K231=K230,D230,C231)</f>
        <v>11</v>
      </c>
      <c r="E231" s="472">
        <f>10+VALUE(RIGHT(LEFT(G231,3),1))</f>
        <v>17</v>
      </c>
      <c r="F231" s="472" t="str">
        <f>RIGHT(G231,2) &amp; IF(A231&lt;2,"x","")</f>
        <v>pm</v>
      </c>
      <c r="G231" s="472" t="s">
        <v>1082</v>
      </c>
      <c r="H231" s="472" t="s">
        <v>411</v>
      </c>
      <c r="I231" s="472" t="s">
        <v>1083</v>
      </c>
      <c r="K231" s="473">
        <f>LOOKUP(1E+100,M231:AC231)</f>
        <v>2765.4519842745844</v>
      </c>
      <c r="M231" s="473">
        <v>2800</v>
      </c>
      <c r="N231" s="472">
        <v>2765.4519842745844</v>
      </c>
    </row>
    <row r="232" spans="1:15">
      <c r="A232" s="472">
        <v>4</v>
      </c>
      <c r="C232" s="472">
        <f>IF(E232=E231,C231+1,1)</f>
        <v>12</v>
      </c>
      <c r="D232" s="472">
        <f>IF(K232=K231,D231,C232)</f>
        <v>12</v>
      </c>
      <c r="E232" s="472">
        <f>10+VALUE(RIGHT(LEFT(G232,3),1))</f>
        <v>17</v>
      </c>
      <c r="F232" s="472" t="str">
        <f>RIGHT(G232,2) &amp; IF(A232&lt;2,"x","")</f>
        <v>pm</v>
      </c>
      <c r="G232" s="472" t="s">
        <v>1057</v>
      </c>
      <c r="H232" s="472" t="s">
        <v>799</v>
      </c>
      <c r="I232" s="472" t="s">
        <v>1058</v>
      </c>
      <c r="K232" s="473">
        <f>LOOKUP(1E+100,M232:AC232)</f>
        <v>2752.6182883776373</v>
      </c>
      <c r="M232" s="473">
        <v>2800</v>
      </c>
      <c r="N232" s="472">
        <v>2752.6182883776373</v>
      </c>
    </row>
    <row r="233" spans="1:15">
      <c r="A233" s="472">
        <v>4</v>
      </c>
      <c r="C233" s="472">
        <f>IF(E233=E232,C232+1,1)</f>
        <v>13</v>
      </c>
      <c r="D233" s="472">
        <f>IF(K233=K232,D232,C233)</f>
        <v>13</v>
      </c>
      <c r="E233" s="472">
        <f>10+VALUE(RIGHT(LEFT(G233,3),1))</f>
        <v>17</v>
      </c>
      <c r="F233" s="472" t="str">
        <f>RIGHT(G233,2) &amp; IF(A233&lt;2,"x","")</f>
        <v>pm</v>
      </c>
      <c r="G233" s="472" t="s">
        <v>1090</v>
      </c>
      <c r="H233" s="472" t="s">
        <v>92</v>
      </c>
      <c r="I233" s="472" t="s">
        <v>1091</v>
      </c>
      <c r="K233" s="473">
        <f>LOOKUP(1E+100,M233:AC233)</f>
        <v>2750</v>
      </c>
      <c r="M233" s="473">
        <v>2750</v>
      </c>
    </row>
    <row r="234" spans="1:15">
      <c r="A234" s="472">
        <v>6</v>
      </c>
      <c r="C234" s="472">
        <f>IF(E234=E233,C233+1,1)</f>
        <v>14</v>
      </c>
      <c r="D234" s="472">
        <f>IF(K234=K233,D233,C234)</f>
        <v>14</v>
      </c>
      <c r="E234" s="472">
        <f>10+VALUE(RIGHT(LEFT(G234,3),1))</f>
        <v>17</v>
      </c>
      <c r="F234" s="472" t="str">
        <f>RIGHT(G234,2) &amp; IF(A234&lt;2,"x","")</f>
        <v>pm</v>
      </c>
      <c r="G234" s="472" t="s">
        <v>1064</v>
      </c>
      <c r="H234" s="472" t="s">
        <v>421</v>
      </c>
      <c r="I234" s="472" t="s">
        <v>1065</v>
      </c>
      <c r="K234" s="473">
        <f>LOOKUP(1E+100,M234:AC234)</f>
        <v>2726.4435267606004</v>
      </c>
      <c r="M234" s="473">
        <v>2800</v>
      </c>
      <c r="N234" s="472">
        <v>2726.4435267606004</v>
      </c>
    </row>
    <row r="235" spans="1:15">
      <c r="A235" s="472">
        <v>6</v>
      </c>
      <c r="C235" s="472">
        <f>IF(E235=E234,C234+1,1)</f>
        <v>15</v>
      </c>
      <c r="D235" s="472">
        <f>IF(K235=K234,D234,C235)</f>
        <v>15</v>
      </c>
      <c r="E235" s="472">
        <f>10+VALUE(RIGHT(LEFT(G235,3),1))</f>
        <v>17</v>
      </c>
      <c r="F235" s="472" t="str">
        <f>RIGHT(G235,2) &amp; IF(A235&lt;2,"x","")</f>
        <v>pm</v>
      </c>
      <c r="G235" s="472" t="s">
        <v>1084</v>
      </c>
      <c r="H235" s="472" t="s">
        <v>411</v>
      </c>
      <c r="I235" s="472" t="s">
        <v>1085</v>
      </c>
      <c r="K235" s="473">
        <f>LOOKUP(1E+100,M235:AC235)</f>
        <v>2671.4711193477101</v>
      </c>
      <c r="M235" s="473">
        <v>2800</v>
      </c>
      <c r="N235" s="472">
        <v>2671.4711193477101</v>
      </c>
    </row>
    <row r="236" spans="1:15">
      <c r="A236" s="472">
        <v>3</v>
      </c>
      <c r="C236" s="472">
        <f>IF(E236=E235,C235+1,1)</f>
        <v>16</v>
      </c>
      <c r="D236" s="472">
        <f>IF(K236=K235,D235,C236)</f>
        <v>16</v>
      </c>
      <c r="E236" s="472">
        <f>10+VALUE(RIGHT(LEFT(G236,3),1))</f>
        <v>17</v>
      </c>
      <c r="F236" s="472" t="str">
        <f>RIGHT(G236,2) &amp; IF(A236&lt;2,"x","")</f>
        <v>pm</v>
      </c>
      <c r="G236" s="472" t="s">
        <v>1092</v>
      </c>
      <c r="H236" s="472" t="s">
        <v>86</v>
      </c>
      <c r="I236" s="472" t="s">
        <v>1093</v>
      </c>
      <c r="K236" s="473">
        <f>LOOKUP(1E+100,M236:AC236)</f>
        <v>2666.6666666666665</v>
      </c>
      <c r="M236" s="473">
        <v>2666.6666666666665</v>
      </c>
    </row>
    <row r="237" spans="1:15">
      <c r="A237" s="472">
        <v>4</v>
      </c>
      <c r="C237" s="472">
        <f>IF(E237=E236,C236+1,1)</f>
        <v>17</v>
      </c>
      <c r="D237" s="472">
        <f>IF(K237=K236,D236,C237)</f>
        <v>17</v>
      </c>
      <c r="E237" s="472">
        <f>10+VALUE(RIGHT(LEFT(G237,3),1))</f>
        <v>17</v>
      </c>
      <c r="F237" s="472" t="str">
        <f>RIGHT(G237,2) &amp; IF(A237&lt;2,"x","")</f>
        <v>pm</v>
      </c>
      <c r="G237" s="472" t="s">
        <v>1094</v>
      </c>
      <c r="H237" s="472" t="s">
        <v>92</v>
      </c>
      <c r="I237" s="472" t="s">
        <v>1095</v>
      </c>
      <c r="K237" s="473">
        <f>LOOKUP(1E+100,M237:AC237)</f>
        <v>2650</v>
      </c>
      <c r="M237" s="473">
        <v>2650</v>
      </c>
    </row>
    <row r="238" spans="1:15">
      <c r="A238" s="472">
        <v>4</v>
      </c>
      <c r="C238" s="472">
        <f>IF(E238=E237,C237+1,1)</f>
        <v>18</v>
      </c>
      <c r="D238" s="472">
        <f>IF(K238=K237,D237,C238)</f>
        <v>18</v>
      </c>
      <c r="E238" s="472">
        <f>10+VALUE(RIGHT(LEFT(G238,3),1))</f>
        <v>17</v>
      </c>
      <c r="F238" s="472" t="str">
        <f>RIGHT(G238,2) &amp; IF(A238&lt;2,"x","")</f>
        <v>pm</v>
      </c>
      <c r="G238" s="472" t="s">
        <v>1103</v>
      </c>
      <c r="H238" s="472" t="s">
        <v>540</v>
      </c>
      <c r="I238" s="472" t="s">
        <v>1104</v>
      </c>
      <c r="K238" s="473">
        <f>LOOKUP(1E+100,M238:AC238)</f>
        <v>2600</v>
      </c>
      <c r="M238" s="473">
        <v>2600</v>
      </c>
    </row>
    <row r="239" spans="1:15">
      <c r="A239" s="472">
        <v>6</v>
      </c>
      <c r="C239" s="472">
        <f>IF(E239=E238,C238+1,1)</f>
        <v>19</v>
      </c>
      <c r="D239" s="472">
        <f>IF(K239=K238,D238,C239)</f>
        <v>19</v>
      </c>
      <c r="E239" s="472">
        <f>10+VALUE(RIGHT(LEFT(G239,3),1))</f>
        <v>17</v>
      </c>
      <c r="F239" s="472" t="str">
        <f>RIGHT(G239,2) &amp; IF(A239&lt;2,"x","")</f>
        <v>pm</v>
      </c>
      <c r="G239" s="472" t="s">
        <v>1098</v>
      </c>
      <c r="H239" s="472" t="s">
        <v>386</v>
      </c>
      <c r="I239" s="472" t="s">
        <v>1099</v>
      </c>
      <c r="K239" s="473">
        <f>LOOKUP(1E+100,M239:AC239)</f>
        <v>2596.7623955178847</v>
      </c>
      <c r="M239" s="473">
        <v>2633.3333333333335</v>
      </c>
      <c r="O239" s="472">
        <v>2596.7623955178847</v>
      </c>
    </row>
    <row r="240" spans="1:15">
      <c r="A240" s="472">
        <v>3</v>
      </c>
      <c r="C240" s="472">
        <f>IF(E240=E239,C239+1,1)</f>
        <v>20</v>
      </c>
      <c r="D240" s="472">
        <f>IF(K240=K239,D239,C240)</f>
        <v>20</v>
      </c>
      <c r="E240" s="472">
        <f>10+VALUE(RIGHT(LEFT(G240,3),1))</f>
        <v>17</v>
      </c>
      <c r="F240" s="472" t="str">
        <f>RIGHT(G240,2) &amp; IF(A240&lt;2,"x","")</f>
        <v>pm</v>
      </c>
      <c r="G240" s="472" t="s">
        <v>1100</v>
      </c>
      <c r="H240" s="472" t="s">
        <v>1101</v>
      </c>
      <c r="I240" s="472" t="s">
        <v>1102</v>
      </c>
      <c r="K240" s="473">
        <f>LOOKUP(1E+100,M240:AC240)</f>
        <v>2594.7575242772618</v>
      </c>
      <c r="M240" s="473">
        <v>2600</v>
      </c>
      <c r="O240" s="472">
        <v>2594.7575242772618</v>
      </c>
    </row>
    <row r="241" spans="1:15">
      <c r="A241" s="472">
        <v>6</v>
      </c>
      <c r="C241" s="472">
        <f>IF(E241=E240,C240+1,1)</f>
        <v>21</v>
      </c>
      <c r="D241" s="472">
        <f>IF(K241=K240,D240,C241)</f>
        <v>21</v>
      </c>
      <c r="E241" s="472">
        <f>10+VALUE(RIGHT(LEFT(G241,3),1))</f>
        <v>17</v>
      </c>
      <c r="F241" s="472" t="str">
        <f>RIGHT(G241,2) &amp; IF(A241&lt;2,"x","")</f>
        <v>pm</v>
      </c>
      <c r="G241" s="472" t="s">
        <v>1096</v>
      </c>
      <c r="H241" s="472" t="s">
        <v>512</v>
      </c>
      <c r="I241" s="472" t="s">
        <v>1097</v>
      </c>
      <c r="K241" s="473">
        <f>LOOKUP(1E+100,M241:AC241)</f>
        <v>2560.0211427201684</v>
      </c>
      <c r="M241" s="473">
        <v>2633.3333333333335</v>
      </c>
      <c r="O241" s="472">
        <v>2560.0211427201684</v>
      </c>
    </row>
    <row r="242" spans="1:15">
      <c r="A242" s="472">
        <v>3</v>
      </c>
      <c r="C242" s="472">
        <f>IF(E242=E241,C241+1,1)</f>
        <v>22</v>
      </c>
      <c r="D242" s="472">
        <f>IF(K242=K241,D241,C242)</f>
        <v>22</v>
      </c>
      <c r="E242" s="472">
        <f>10+VALUE(RIGHT(LEFT(G242,3),1))</f>
        <v>17</v>
      </c>
      <c r="F242" s="472" t="str">
        <f>RIGHT(G242,2) &amp; IF(A242&lt;2,"x","")</f>
        <v>pm</v>
      </c>
      <c r="G242" s="472" t="s">
        <v>1109</v>
      </c>
      <c r="H242" s="472" t="s">
        <v>117</v>
      </c>
      <c r="I242" s="472" t="s">
        <v>1110</v>
      </c>
      <c r="K242" s="473">
        <f>LOOKUP(1E+100,M242:AC242)</f>
        <v>2533.3333333333335</v>
      </c>
      <c r="M242" s="473">
        <v>2533.3333333333335</v>
      </c>
    </row>
    <row r="243" spans="1:15">
      <c r="A243" s="472">
        <v>5</v>
      </c>
      <c r="C243" s="472">
        <f>IF(E243=E242,C242+1,1)</f>
        <v>23</v>
      </c>
      <c r="D243" s="472">
        <f>IF(K243=K242,D242,C243)</f>
        <v>23</v>
      </c>
      <c r="E243" s="472">
        <f>10+VALUE(RIGHT(LEFT(G243,3),1))</f>
        <v>17</v>
      </c>
      <c r="F243" s="472" t="str">
        <f>RIGHT(G243,2) &amp; IF(A243&lt;2,"x","")</f>
        <v>pm</v>
      </c>
      <c r="G243" s="472" t="s">
        <v>1115</v>
      </c>
      <c r="H243" s="472" t="s">
        <v>301</v>
      </c>
      <c r="I243" s="472" t="s">
        <v>1116</v>
      </c>
      <c r="K243" s="473">
        <f>LOOKUP(1E+100,M243:AC243)</f>
        <v>2490.6768318830891</v>
      </c>
      <c r="M243" s="473">
        <v>2440</v>
      </c>
      <c r="O243" s="472">
        <v>2490.6768318830891</v>
      </c>
    </row>
    <row r="244" spans="1:15">
      <c r="A244" s="472">
        <v>4</v>
      </c>
      <c r="C244" s="472">
        <f>IF(E244=E243,C243+1,1)</f>
        <v>24</v>
      </c>
      <c r="D244" s="472">
        <f>IF(K244=K243,D243,C244)</f>
        <v>24</v>
      </c>
      <c r="E244" s="472">
        <f>10+VALUE(RIGHT(LEFT(G244,3),1))</f>
        <v>17</v>
      </c>
      <c r="F244" s="472" t="str">
        <f>RIGHT(G244,2) &amp; IF(A244&lt;2,"x","")</f>
        <v>pm</v>
      </c>
      <c r="G244" s="472" t="s">
        <v>1107</v>
      </c>
      <c r="H244" s="472" t="s">
        <v>676</v>
      </c>
      <c r="I244" s="472" t="s">
        <v>1108</v>
      </c>
      <c r="K244" s="473">
        <f>LOOKUP(1E+100,M244:AC244)</f>
        <v>2455.4022605669384</v>
      </c>
      <c r="M244" s="473">
        <v>2550</v>
      </c>
      <c r="O244" s="472">
        <v>2455.4022605669384</v>
      </c>
    </row>
    <row r="245" spans="1:15">
      <c r="A245" s="472">
        <v>5</v>
      </c>
      <c r="C245" s="472">
        <f>IF(E245=E244,C244+1,1)</f>
        <v>25</v>
      </c>
      <c r="D245" s="472">
        <f>IF(K245=K244,D244,C245)</f>
        <v>25</v>
      </c>
      <c r="E245" s="472">
        <f>10+VALUE(RIGHT(LEFT(G245,3),1))</f>
        <v>17</v>
      </c>
      <c r="F245" s="472" t="str">
        <f>RIGHT(G245,2) &amp; IF(A245&lt;2,"x","")</f>
        <v>pm</v>
      </c>
      <c r="G245" s="472" t="s">
        <v>1113</v>
      </c>
      <c r="H245" s="472" t="s">
        <v>870</v>
      </c>
      <c r="I245" s="472" t="s">
        <v>1114</v>
      </c>
      <c r="K245" s="473">
        <f>LOOKUP(1E+100,M245:AC245)</f>
        <v>2425.6436108822677</v>
      </c>
      <c r="M245" s="473">
        <v>2440</v>
      </c>
      <c r="O245" s="472">
        <v>2425.6436108822677</v>
      </c>
    </row>
    <row r="246" spans="1:15">
      <c r="A246" s="472">
        <v>4</v>
      </c>
      <c r="C246" s="472">
        <f>IF(E246=E245,C245+1,1)</f>
        <v>26</v>
      </c>
      <c r="D246" s="472">
        <f>IF(K246=K245,D245,C246)</f>
        <v>26</v>
      </c>
      <c r="E246" s="472">
        <f>10+VALUE(RIGHT(LEFT(G246,3),1))</f>
        <v>17</v>
      </c>
      <c r="F246" s="472" t="str">
        <f>RIGHT(G246,2) &amp; IF(A246&lt;2,"x","")</f>
        <v>pm</v>
      </c>
      <c r="G246" s="472" t="s">
        <v>1119</v>
      </c>
      <c r="H246" s="472" t="s">
        <v>397</v>
      </c>
      <c r="I246" s="472" t="s">
        <v>1120</v>
      </c>
      <c r="K246" s="473">
        <f>LOOKUP(1E+100,M246:AC246)</f>
        <v>2400</v>
      </c>
      <c r="M246" s="473">
        <v>2400</v>
      </c>
    </row>
    <row r="247" spans="1:15">
      <c r="A247" s="472">
        <v>2</v>
      </c>
      <c r="C247" s="472">
        <f>IF(E247=E246,C246+1,1)</f>
        <v>27</v>
      </c>
      <c r="D247" s="472">
        <f>IF(K247=K246,D246,C247)</f>
        <v>26</v>
      </c>
      <c r="E247" s="472">
        <f>10+VALUE(RIGHT(LEFT(G247,3),1))</f>
        <v>17</v>
      </c>
      <c r="F247" s="472" t="str">
        <f>RIGHT(G247,2) &amp; IF(A247&lt;2,"x","")</f>
        <v>pm</v>
      </c>
      <c r="G247" s="472" t="s">
        <v>1123</v>
      </c>
      <c r="H247" s="472" t="s">
        <v>154</v>
      </c>
      <c r="I247" s="472" t="s">
        <v>1124</v>
      </c>
      <c r="K247" s="473">
        <f>LOOKUP(1E+100,M247:AC247)</f>
        <v>2400</v>
      </c>
      <c r="M247" s="473">
        <v>2400</v>
      </c>
    </row>
    <row r="248" spans="1:15">
      <c r="A248" s="472">
        <v>4</v>
      </c>
      <c r="C248" s="472">
        <f>IF(E248=E247,C247+1,1)</f>
        <v>28</v>
      </c>
      <c r="D248" s="472">
        <f>IF(K248=K247,D247,C248)</f>
        <v>26</v>
      </c>
      <c r="E248" s="472">
        <f>10+VALUE(RIGHT(LEFT(G248,3),1))</f>
        <v>17</v>
      </c>
      <c r="F248" s="472" t="str">
        <f>RIGHT(G248,2) &amp; IF(A248&lt;2,"x","")</f>
        <v>pm</v>
      </c>
      <c r="G248" s="472" t="s">
        <v>1129</v>
      </c>
      <c r="H248" s="472" t="s">
        <v>86</v>
      </c>
      <c r="I248" s="472" t="s">
        <v>1130</v>
      </c>
      <c r="K248" s="473">
        <f>LOOKUP(1E+100,M248:AC248)</f>
        <v>2400</v>
      </c>
      <c r="M248" s="473">
        <v>2400</v>
      </c>
    </row>
    <row r="249" spans="1:15">
      <c r="A249" s="472">
        <v>5</v>
      </c>
      <c r="C249" s="472">
        <f>IF(E249=E248,C248+1,1)</f>
        <v>29</v>
      </c>
      <c r="D249" s="472">
        <f>IF(K249=K248,D248,C249)</f>
        <v>26</v>
      </c>
      <c r="E249" s="472">
        <f>10+VALUE(RIGHT(LEFT(G249,3),1))</f>
        <v>17</v>
      </c>
      <c r="F249" s="472" t="str">
        <f>RIGHT(G249,2) &amp; IF(A249&lt;2,"x","")</f>
        <v>pm</v>
      </c>
      <c r="G249" s="472" t="s">
        <v>1133</v>
      </c>
      <c r="H249" s="472" t="s">
        <v>579</v>
      </c>
      <c r="I249" s="472" t="s">
        <v>1134</v>
      </c>
      <c r="K249" s="473">
        <f>LOOKUP(1E+100,M249:AC249)</f>
        <v>2400</v>
      </c>
      <c r="M249" s="473">
        <v>2400</v>
      </c>
    </row>
    <row r="250" spans="1:15">
      <c r="A250" s="472">
        <v>4</v>
      </c>
      <c r="C250" s="472">
        <f>IF(E250=E249,C249+1,1)</f>
        <v>30</v>
      </c>
      <c r="D250" s="472">
        <f>IF(K250=K249,D249,C250)</f>
        <v>26</v>
      </c>
      <c r="E250" s="472">
        <f>10+VALUE(RIGHT(LEFT(G250,3),1))</f>
        <v>17</v>
      </c>
      <c r="F250" s="472" t="str">
        <f>RIGHT(G250,2) &amp; IF(A250&lt;2,"x","")</f>
        <v>pm</v>
      </c>
      <c r="G250" s="472" t="s">
        <v>1135</v>
      </c>
      <c r="H250" s="472" t="s">
        <v>1136</v>
      </c>
      <c r="I250" s="472" t="s">
        <v>1137</v>
      </c>
      <c r="K250" s="473">
        <f>LOOKUP(1E+100,M250:AC250)</f>
        <v>2400</v>
      </c>
      <c r="M250" s="473">
        <v>2400</v>
      </c>
    </row>
    <row r="251" spans="1:15">
      <c r="A251" s="472">
        <v>4</v>
      </c>
      <c r="C251" s="472">
        <f>IF(E251=E250,C250+1,1)</f>
        <v>31</v>
      </c>
      <c r="D251" s="472">
        <f>IF(K251=K250,D250,C251)</f>
        <v>26</v>
      </c>
      <c r="E251" s="472">
        <f>10+VALUE(RIGHT(LEFT(G251,3),1))</f>
        <v>17</v>
      </c>
      <c r="F251" s="472" t="str">
        <f>RIGHT(G251,2) &amp; IF(A251&lt;2,"x","")</f>
        <v>pm</v>
      </c>
      <c r="G251" s="472" t="s">
        <v>1138</v>
      </c>
      <c r="H251" s="472" t="s">
        <v>483</v>
      </c>
      <c r="I251" s="472" t="s">
        <v>1139</v>
      </c>
      <c r="K251" s="473">
        <f>LOOKUP(1E+100,M251:AC251)</f>
        <v>2400</v>
      </c>
      <c r="M251" s="473">
        <v>2400</v>
      </c>
    </row>
    <row r="252" spans="1:15">
      <c r="A252" s="472">
        <v>3</v>
      </c>
      <c r="C252" s="472">
        <f>IF(E252=E251,C251+1,1)</f>
        <v>1</v>
      </c>
      <c r="D252" s="472">
        <f>IF(K252=K251,D251,C252)</f>
        <v>1</v>
      </c>
      <c r="E252" s="472">
        <f>10+VALUE(RIGHT(LEFT(G252,3),1))</f>
        <v>18</v>
      </c>
      <c r="F252" s="472" t="str">
        <f>RIGHT(G252,2) &amp; IF(A252&lt;2,"x","")</f>
        <v>pm</v>
      </c>
      <c r="G252" s="472" t="s">
        <v>1150</v>
      </c>
      <c r="H252" s="472" t="s">
        <v>331</v>
      </c>
      <c r="I252" s="472" t="s">
        <v>1151</v>
      </c>
      <c r="K252" s="473">
        <f>LOOKUP(1E+100,M252:AC252)</f>
        <v>3042.4287957562287</v>
      </c>
      <c r="M252" s="473">
        <v>3000</v>
      </c>
      <c r="N252" s="472">
        <v>3042.4287957562287</v>
      </c>
    </row>
    <row r="253" spans="1:15">
      <c r="A253" s="472">
        <v>2</v>
      </c>
      <c r="C253" s="472">
        <f>IF(E253=E252,C252+1,1)</f>
        <v>2</v>
      </c>
      <c r="D253" s="472">
        <f>IF(K253=K252,D252,C253)</f>
        <v>2</v>
      </c>
      <c r="E253" s="472">
        <f>10+VALUE(RIGHT(LEFT(G253,3),1))</f>
        <v>18</v>
      </c>
      <c r="F253" s="472" t="str">
        <f>RIGHT(G253,2) &amp; IF(A253&lt;2,"x","")</f>
        <v>pm</v>
      </c>
      <c r="G253" s="472" t="s">
        <v>1140</v>
      </c>
      <c r="H253" s="472" t="s">
        <v>123</v>
      </c>
      <c r="I253" s="472" t="s">
        <v>1141</v>
      </c>
      <c r="K253" s="473">
        <f>LOOKUP(1E+100,M253:AC253)</f>
        <v>3013.3111133784737</v>
      </c>
      <c r="M253" s="473">
        <v>3000</v>
      </c>
      <c r="N253" s="472">
        <v>3013.3111133784737</v>
      </c>
    </row>
    <row r="254" spans="1:15">
      <c r="A254" s="472">
        <v>5</v>
      </c>
      <c r="C254" s="472">
        <f>IF(E254=E253,C253+1,1)</f>
        <v>3</v>
      </c>
      <c r="D254" s="472">
        <f>IF(K254=K253,D253,C254)</f>
        <v>3</v>
      </c>
      <c r="E254" s="472">
        <f>10+VALUE(RIGHT(LEFT(G254,3),1))</f>
        <v>18</v>
      </c>
      <c r="F254" s="472" t="str">
        <f>RIGHT(G254,2) &amp; IF(A254&lt;2,"x","")</f>
        <v>pm</v>
      </c>
      <c r="G254" s="472" t="s">
        <v>1182</v>
      </c>
      <c r="H254" s="472" t="s">
        <v>654</v>
      </c>
      <c r="I254" s="472" t="s">
        <v>1183</v>
      </c>
      <c r="K254" s="473">
        <f>LOOKUP(1E+100,M254:AC254)</f>
        <v>3009.2514829430538</v>
      </c>
      <c r="M254" s="473">
        <v>3000</v>
      </c>
      <c r="N254" s="472">
        <v>3009.2514829430538</v>
      </c>
    </row>
    <row r="255" spans="1:15">
      <c r="A255" s="472">
        <v>6</v>
      </c>
      <c r="C255" s="472">
        <f>IF(E255=E254,C254+1,1)</f>
        <v>4</v>
      </c>
      <c r="D255" s="472">
        <f>IF(K255=K254,D254,C255)</f>
        <v>4</v>
      </c>
      <c r="E255" s="472">
        <f>10+VALUE(RIGHT(LEFT(G255,3),1))</f>
        <v>18</v>
      </c>
      <c r="F255" s="472" t="str">
        <f>RIGHT(G255,2) &amp; IF(A255&lt;2,"x","")</f>
        <v>pm</v>
      </c>
      <c r="G255" s="472" t="s">
        <v>1158</v>
      </c>
      <c r="H255" s="472" t="s">
        <v>394</v>
      </c>
      <c r="I255" s="472" t="s">
        <v>1159</v>
      </c>
      <c r="K255" s="473">
        <f>LOOKUP(1E+100,M255:AC255)</f>
        <v>3000</v>
      </c>
      <c r="M255" s="473">
        <v>3000</v>
      </c>
    </row>
    <row r="256" spans="1:15">
      <c r="A256" s="472">
        <v>2</v>
      </c>
      <c r="C256" s="472">
        <f>IF(E256=E255,C255+1,1)</f>
        <v>5</v>
      </c>
      <c r="D256" s="472">
        <f>IF(K256=K255,D255,C256)</f>
        <v>4</v>
      </c>
      <c r="E256" s="472">
        <f>10+VALUE(RIGHT(LEFT(G256,3),1))</f>
        <v>18</v>
      </c>
      <c r="F256" s="472" t="str">
        <f>RIGHT(G256,2) &amp; IF(A256&lt;2,"x","")</f>
        <v>pm</v>
      </c>
      <c r="G256" s="472" t="s">
        <v>1163</v>
      </c>
      <c r="H256" s="472" t="s">
        <v>154</v>
      </c>
      <c r="I256" s="472" t="s">
        <v>1164</v>
      </c>
      <c r="K256" s="473">
        <f>LOOKUP(1E+100,M256:AC256)</f>
        <v>3000</v>
      </c>
      <c r="M256" s="473">
        <v>3000</v>
      </c>
    </row>
    <row r="257" spans="1:15">
      <c r="A257" s="472">
        <v>2</v>
      </c>
      <c r="C257" s="472">
        <f>IF(E257=E256,C256+1,1)</f>
        <v>6</v>
      </c>
      <c r="D257" s="472">
        <f>IF(K257=K256,D256,C257)</f>
        <v>4</v>
      </c>
      <c r="E257" s="472">
        <f>10+VALUE(RIGHT(LEFT(G257,3),1))</f>
        <v>18</v>
      </c>
      <c r="F257" s="472" t="str">
        <f>RIGHT(G257,2) &amp; IF(A257&lt;2,"x","")</f>
        <v>pm</v>
      </c>
      <c r="G257" s="472" t="s">
        <v>1165</v>
      </c>
      <c r="H257" s="472" t="s">
        <v>154</v>
      </c>
      <c r="I257" s="472" t="s">
        <v>1166</v>
      </c>
      <c r="K257" s="473">
        <f>LOOKUP(1E+100,M257:AC257)</f>
        <v>3000</v>
      </c>
      <c r="M257" s="473">
        <v>3000</v>
      </c>
    </row>
    <row r="258" spans="1:15">
      <c r="A258" s="472">
        <v>2</v>
      </c>
      <c r="C258" s="472">
        <f>IF(E258=E257,C257+1,1)</f>
        <v>7</v>
      </c>
      <c r="D258" s="472">
        <f>IF(K258=K257,D257,C258)</f>
        <v>4</v>
      </c>
      <c r="E258" s="472">
        <f>10+VALUE(RIGHT(LEFT(G258,3),1))</f>
        <v>18</v>
      </c>
      <c r="F258" s="472" t="str">
        <f>RIGHT(G258,2) &amp; IF(A258&lt;2,"x","")</f>
        <v>pm</v>
      </c>
      <c r="G258" s="472" t="s">
        <v>1174</v>
      </c>
      <c r="H258" s="472" t="s">
        <v>86</v>
      </c>
      <c r="I258" s="472" t="s">
        <v>1175</v>
      </c>
      <c r="K258" s="473">
        <f>LOOKUP(1E+100,M258:AC258)</f>
        <v>3000</v>
      </c>
      <c r="M258" s="473">
        <v>3000</v>
      </c>
    </row>
    <row r="259" spans="1:15">
      <c r="A259" s="472">
        <v>4</v>
      </c>
      <c r="C259" s="472">
        <f>IF(E259=E258,C258+1,1)</f>
        <v>8</v>
      </c>
      <c r="D259" s="472">
        <f>IF(K259=K258,D258,C259)</f>
        <v>8</v>
      </c>
      <c r="E259" s="472">
        <f>10+VALUE(RIGHT(LEFT(G259,3),1))</f>
        <v>18</v>
      </c>
      <c r="F259" s="472" t="str">
        <f>RIGHT(G259,2) &amp; IF(A259&lt;2,"x","")</f>
        <v>pm</v>
      </c>
      <c r="G259" s="472" t="s">
        <v>1156</v>
      </c>
      <c r="H259" s="472" t="s">
        <v>799</v>
      </c>
      <c r="I259" s="472" t="s">
        <v>1157</v>
      </c>
      <c r="K259" s="473">
        <f>LOOKUP(1E+100,M259:AC259)</f>
        <v>2980.2992862947854</v>
      </c>
      <c r="M259" s="473">
        <v>3000</v>
      </c>
      <c r="N259" s="472">
        <v>2980.2992862947854</v>
      </c>
    </row>
    <row r="260" spans="1:15">
      <c r="A260" s="472">
        <v>6</v>
      </c>
      <c r="C260" s="472">
        <f>IF(E260=E259,C259+1,1)</f>
        <v>9</v>
      </c>
      <c r="D260" s="472">
        <f>IF(K260=K259,D259,C260)</f>
        <v>9</v>
      </c>
      <c r="E260" s="472">
        <f>10+VALUE(RIGHT(LEFT(G260,3),1))</f>
        <v>18</v>
      </c>
      <c r="F260" s="472" t="str">
        <f>RIGHT(G260,2) &amp; IF(A260&lt;2,"x","")</f>
        <v>pm</v>
      </c>
      <c r="G260" s="472" t="s">
        <v>1160</v>
      </c>
      <c r="H260" s="472" t="s">
        <v>421</v>
      </c>
      <c r="I260" s="472" t="s">
        <v>1161</v>
      </c>
      <c r="K260" s="473">
        <f>LOOKUP(1E+100,M260:AC260)</f>
        <v>2917.3787570454606</v>
      </c>
      <c r="M260" s="473">
        <v>3000</v>
      </c>
      <c r="N260" s="472">
        <v>2917.3787570454606</v>
      </c>
    </row>
    <row r="261" spans="1:15">
      <c r="A261" s="472">
        <v>3</v>
      </c>
      <c r="C261" s="472">
        <f>IF(E261=E260,C260+1,1)</f>
        <v>10</v>
      </c>
      <c r="D261" s="472">
        <f>IF(K261=K260,D260,C261)</f>
        <v>10</v>
      </c>
      <c r="E261" s="472">
        <f>10+VALUE(RIGHT(LEFT(G261,3),1))</f>
        <v>18</v>
      </c>
      <c r="F261" s="472" t="str">
        <f>RIGHT(G261,2) &amp; IF(A261&lt;2,"x","")</f>
        <v>pm</v>
      </c>
      <c r="G261" s="472" t="s">
        <v>1146</v>
      </c>
      <c r="H261" s="472" t="s">
        <v>370</v>
      </c>
      <c r="I261" s="472" t="s">
        <v>1147</v>
      </c>
      <c r="K261" s="473">
        <f>LOOKUP(1E+100,M261:AC261)</f>
        <v>2913.866898564183</v>
      </c>
      <c r="M261" s="473">
        <v>3000</v>
      </c>
      <c r="N261" s="472">
        <v>2913.866898564183</v>
      </c>
    </row>
    <row r="262" spans="1:15">
      <c r="A262" s="472">
        <v>4</v>
      </c>
      <c r="C262" s="472">
        <f>IF(E262=E261,C261+1,1)</f>
        <v>11</v>
      </c>
      <c r="D262" s="472">
        <f>IF(K262=K261,D261,C262)</f>
        <v>11</v>
      </c>
      <c r="E262" s="472">
        <f>10+VALUE(RIGHT(LEFT(G262,3),1))</f>
        <v>18</v>
      </c>
      <c r="F262" s="472" t="str">
        <f>RIGHT(G262,2) &amp; IF(A262&lt;2,"x","")</f>
        <v>pm</v>
      </c>
      <c r="G262" s="472" t="s">
        <v>1190</v>
      </c>
      <c r="H262" s="472" t="s">
        <v>1191</v>
      </c>
      <c r="I262" s="472" t="s">
        <v>1192</v>
      </c>
      <c r="K262" s="473">
        <f>LOOKUP(1E+100,M262:AC262)</f>
        <v>2900</v>
      </c>
      <c r="M262" s="473">
        <v>2900</v>
      </c>
    </row>
    <row r="263" spans="1:15">
      <c r="A263" s="472">
        <v>4</v>
      </c>
      <c r="C263" s="472">
        <f>IF(E263=E262,C262+1,1)</f>
        <v>12</v>
      </c>
      <c r="D263" s="472">
        <f>IF(K263=K262,D262,C263)</f>
        <v>12</v>
      </c>
      <c r="E263" s="472">
        <f>10+VALUE(RIGHT(LEFT(G263,3),1))</f>
        <v>18</v>
      </c>
      <c r="F263" s="472" t="str">
        <f>RIGHT(G263,2) &amp; IF(A263&lt;2,"x","")</f>
        <v>pm</v>
      </c>
      <c r="G263" s="472" t="s">
        <v>1193</v>
      </c>
      <c r="H263" s="472" t="s">
        <v>301</v>
      </c>
      <c r="I263" s="472" t="s">
        <v>1194</v>
      </c>
      <c r="K263" s="473">
        <f>LOOKUP(1E+100,M263:AC263)</f>
        <v>2846.6730164220471</v>
      </c>
      <c r="M263" s="473">
        <v>2900</v>
      </c>
      <c r="O263" s="472">
        <v>2846.6730164220471</v>
      </c>
    </row>
    <row r="264" spans="1:15">
      <c r="A264" s="472">
        <v>4</v>
      </c>
      <c r="C264" s="472">
        <f>IF(E264=E263,C263+1,1)</f>
        <v>13</v>
      </c>
      <c r="D264" s="472">
        <f>IF(K264=K263,D263,C264)</f>
        <v>13</v>
      </c>
      <c r="E264" s="472">
        <f>10+VALUE(RIGHT(LEFT(G264,3),1))</f>
        <v>18</v>
      </c>
      <c r="F264" s="472" t="str">
        <f>RIGHT(G264,2) &amp; IF(A264&lt;2,"x","")</f>
        <v>pm</v>
      </c>
      <c r="G264" s="472" t="s">
        <v>1195</v>
      </c>
      <c r="H264" s="472" t="s">
        <v>402</v>
      </c>
      <c r="I264" s="472" t="s">
        <v>1196</v>
      </c>
      <c r="K264" s="473">
        <f>LOOKUP(1E+100,M264:AC264)</f>
        <v>2779.3399633647014</v>
      </c>
      <c r="M264" s="473">
        <v>2700</v>
      </c>
      <c r="O264" s="472">
        <v>2779.3399633647014</v>
      </c>
    </row>
    <row r="265" spans="1:15">
      <c r="A265" s="472">
        <v>4</v>
      </c>
      <c r="C265" s="472">
        <f>IF(E265=E264,C264+1,1)</f>
        <v>14</v>
      </c>
      <c r="D265" s="472">
        <f>IF(K265=K264,D264,C265)</f>
        <v>14</v>
      </c>
      <c r="E265" s="472">
        <f>10+VALUE(RIGHT(LEFT(G265,3),1))</f>
        <v>18</v>
      </c>
      <c r="F265" s="472" t="str">
        <f>RIGHT(G265,2) &amp; IF(A265&lt;2,"x","")</f>
        <v>pm</v>
      </c>
      <c r="G265" s="472" t="s">
        <v>1211</v>
      </c>
      <c r="H265" s="472" t="s">
        <v>1212</v>
      </c>
      <c r="I265" s="472" t="s">
        <v>1213</v>
      </c>
      <c r="K265" s="473">
        <f>LOOKUP(1E+100,M265:AC265)</f>
        <v>2685.7083809585338</v>
      </c>
      <c r="M265" s="473">
        <v>2600</v>
      </c>
      <c r="O265" s="472">
        <v>2685.7083809585338</v>
      </c>
    </row>
    <row r="266" spans="1:15">
      <c r="A266" s="472">
        <v>7</v>
      </c>
      <c r="C266" s="472">
        <f>IF(E266=E265,C265+1,1)</f>
        <v>15</v>
      </c>
      <c r="D266" s="472">
        <f>IF(K266=K265,D265,C266)</f>
        <v>15</v>
      </c>
      <c r="E266" s="472">
        <f>10+VALUE(RIGHT(LEFT(G266,3),1))</f>
        <v>18</v>
      </c>
      <c r="F266" s="472" t="str">
        <f>RIGHT(G266,2) &amp; IF(A266&lt;2,"x","")</f>
        <v>pm</v>
      </c>
      <c r="G266" s="472" t="s">
        <v>1207</v>
      </c>
      <c r="H266" s="472" t="s">
        <v>1012</v>
      </c>
      <c r="I266" s="472" t="s">
        <v>1208</v>
      </c>
      <c r="K266" s="473">
        <f>LOOKUP(1E+100,M266:AC266)</f>
        <v>2642.7403530234815</v>
      </c>
      <c r="M266" s="473">
        <v>2600</v>
      </c>
      <c r="O266" s="472">
        <v>2642.7403530234815</v>
      </c>
    </row>
    <row r="267" spans="1:15">
      <c r="A267" s="472">
        <v>6</v>
      </c>
      <c r="C267" s="472">
        <f>IF(E267=E266,C266+1,1)</f>
        <v>16</v>
      </c>
      <c r="D267" s="472">
        <f>IF(K267=K266,D266,C267)</f>
        <v>16</v>
      </c>
      <c r="E267" s="472">
        <f>10+VALUE(RIGHT(LEFT(G267,3),1))</f>
        <v>18</v>
      </c>
      <c r="F267" s="472" t="str">
        <f>RIGHT(G267,2) &amp; IF(A267&lt;2,"x","")</f>
        <v>pm</v>
      </c>
      <c r="G267" s="472" t="s">
        <v>1197</v>
      </c>
      <c r="H267" s="472" t="s">
        <v>671</v>
      </c>
      <c r="I267" s="472" t="s">
        <v>1198</v>
      </c>
      <c r="K267" s="473">
        <f>LOOKUP(1E+100,M267:AC267)</f>
        <v>2611.9315376700629</v>
      </c>
      <c r="M267" s="473">
        <v>2666.6666666666665</v>
      </c>
      <c r="O267" s="472">
        <v>2611.9315376700629</v>
      </c>
    </row>
    <row r="268" spans="1:15">
      <c r="A268" s="472">
        <v>5</v>
      </c>
      <c r="C268" s="472">
        <f>IF(E268=E267,C267+1,1)</f>
        <v>17</v>
      </c>
      <c r="D268" s="472">
        <f>IF(K268=K267,D267,C268)</f>
        <v>17</v>
      </c>
      <c r="E268" s="472">
        <f>10+VALUE(RIGHT(LEFT(G268,3),1))</f>
        <v>18</v>
      </c>
      <c r="F268" s="472" t="str">
        <f>RIGHT(G268,2) &amp; IF(A268&lt;2,"x","")</f>
        <v>pm</v>
      </c>
      <c r="G268" s="472" t="s">
        <v>1209</v>
      </c>
      <c r="H268" s="472" t="s">
        <v>579</v>
      </c>
      <c r="I268" s="472" t="s">
        <v>1210</v>
      </c>
      <c r="K268" s="473">
        <f>LOOKUP(1E+100,M268:AC268)</f>
        <v>2600</v>
      </c>
      <c r="M268" s="473">
        <v>2600</v>
      </c>
    </row>
    <row r="269" spans="1:15">
      <c r="A269" s="472">
        <v>6</v>
      </c>
      <c r="C269" s="472">
        <f>IF(E269=E268,C268+1,1)</f>
        <v>18</v>
      </c>
      <c r="D269" s="472">
        <f>IF(K269=K268,D268,C269)</f>
        <v>18</v>
      </c>
      <c r="E269" s="472">
        <f>10+VALUE(RIGHT(LEFT(G269,3),1))</f>
        <v>18</v>
      </c>
      <c r="F269" s="472" t="str">
        <f>RIGHT(G269,2) &amp; IF(A269&lt;2,"x","")</f>
        <v>pm</v>
      </c>
      <c r="G269" s="472" t="s">
        <v>1199</v>
      </c>
      <c r="H269" s="472" t="s">
        <v>687</v>
      </c>
      <c r="I269" s="472" t="s">
        <v>1200</v>
      </c>
      <c r="K269" s="473">
        <f>LOOKUP(1E+100,M269:AC269)</f>
        <v>2577.1044117324004</v>
      </c>
      <c r="M269" s="473">
        <v>2600</v>
      </c>
      <c r="O269" s="472">
        <v>2577.1044117324004</v>
      </c>
    </row>
  </sheetData>
  <sortState ref="A2:AJ427">
    <sortCondition ref="E2:E999"/>
    <sortCondition descending="1" ref="K2:K999"/>
    <sortCondition ref="G2:G999"/>
  </sortState>
  <conditionalFormatting sqref="G1:I1">
    <cfRule type="containsText" dxfId="116" priority="117" operator="containsText" text="CSRA">
      <formula>NOT(ISERROR(SEARCH("CSRA",G1)))</formula>
    </cfRule>
  </conditionalFormatting>
  <conditionalFormatting sqref="AK1:XFD1048576 A1:AH1048576">
    <cfRule type="expression" dxfId="115" priority="109">
      <formula>$E1&lt;12</formula>
    </cfRule>
    <cfRule type="expression" dxfId="114" priority="110">
      <formula>$E1=18</formula>
    </cfRule>
    <cfRule type="expression" dxfId="113" priority="111">
      <formula>$E1=17</formula>
    </cfRule>
    <cfRule type="expression" dxfId="112" priority="112">
      <formula>$E1=16</formula>
    </cfRule>
    <cfRule type="expression" dxfId="111" priority="113">
      <formula>$E1=15</formula>
    </cfRule>
    <cfRule type="expression" dxfId="110" priority="114">
      <formula>$E1=14</formula>
    </cfRule>
    <cfRule type="expression" dxfId="109" priority="115">
      <formula>$E1=13</formula>
    </cfRule>
    <cfRule type="expression" dxfId="108" priority="116">
      <formula>$E1=12</formula>
    </cfRule>
  </conditionalFormatting>
  <conditionalFormatting sqref="AK1:XFD1048576 A1:AH1048576">
    <cfRule type="expression" dxfId="107" priority="100">
      <formula>$E1=10</formula>
    </cfRule>
    <cfRule type="expression" dxfId="106" priority="101">
      <formula>$E1=11</formula>
    </cfRule>
    <cfRule type="expression" dxfId="105" priority="102">
      <formula>$E1=18</formula>
    </cfRule>
    <cfRule type="expression" dxfId="104" priority="103">
      <formula>$E1=17</formula>
    </cfRule>
    <cfRule type="expression" dxfId="103" priority="104">
      <formula>$E1=16</formula>
    </cfRule>
    <cfRule type="expression" dxfId="102" priority="105">
      <formula>$E1=15</formula>
    </cfRule>
    <cfRule type="expression" dxfId="101" priority="106">
      <formula>$E1=14</formula>
    </cfRule>
    <cfRule type="expression" dxfId="100" priority="107">
      <formula>$E1=13</formula>
    </cfRule>
    <cfRule type="expression" dxfId="99" priority="108">
      <formula>$E1=12</formula>
    </cfRule>
  </conditionalFormatting>
  <conditionalFormatting sqref="A255:AH255 AK255:XFD255">
    <cfRule type="expression" dxfId="98" priority="91">
      <formula>$E255=10</formula>
    </cfRule>
    <cfRule type="expression" dxfId="97" priority="92">
      <formula>$E255=11</formula>
    </cfRule>
    <cfRule type="expression" dxfId="96" priority="93">
      <formula>$E255=18</formula>
    </cfRule>
    <cfRule type="expression" dxfId="95" priority="94">
      <formula>$E255=17</formula>
    </cfRule>
    <cfRule type="expression" dxfId="94" priority="95">
      <formula>$E255=16</formula>
    </cfRule>
    <cfRule type="expression" dxfId="93" priority="96">
      <formula>$E255=15</formula>
    </cfRule>
    <cfRule type="expression" dxfId="92" priority="97">
      <formula>$E255=14</formula>
    </cfRule>
    <cfRule type="expression" dxfId="91" priority="98">
      <formula>$E255=13</formula>
    </cfRule>
    <cfRule type="expression" dxfId="90" priority="99">
      <formula>$E255=12</formula>
    </cfRule>
  </conditionalFormatting>
  <conditionalFormatting sqref="AK265:XFD268 IX258:XFD263 A265:AH268">
    <cfRule type="expression" dxfId="89" priority="82">
      <formula>$E258=10</formula>
    </cfRule>
    <cfRule type="expression" dxfId="88" priority="83">
      <formula>$E258=11</formula>
    </cfRule>
    <cfRule type="expression" dxfId="87" priority="84">
      <formula>$E258=18</formula>
    </cfRule>
    <cfRule type="expression" dxfId="86" priority="85">
      <formula>$E258=17</formula>
    </cfRule>
    <cfRule type="expression" dxfId="85" priority="86">
      <formula>$E258=16</formula>
    </cfRule>
    <cfRule type="expression" dxfId="84" priority="87">
      <formula>$E258=15</formula>
    </cfRule>
    <cfRule type="expression" dxfId="83" priority="88">
      <formula>$E258=14</formula>
    </cfRule>
    <cfRule type="expression" dxfId="82" priority="89">
      <formula>$E258=13</formula>
    </cfRule>
    <cfRule type="expression" dxfId="81" priority="90">
      <formula>$E258=12</formula>
    </cfRule>
  </conditionalFormatting>
  <conditionalFormatting sqref="A262:AH262 A261:F261 J261:AH261 H263 K263:AH263 A263:F263 AK261:IW263">
    <cfRule type="expression" dxfId="80" priority="73">
      <formula>$E261=10</formula>
    </cfRule>
    <cfRule type="expression" dxfId="79" priority="74">
      <formula>$E261=11</formula>
    </cfRule>
    <cfRule type="expression" dxfId="78" priority="75">
      <formula>$E261=18</formula>
    </cfRule>
    <cfRule type="expression" dxfId="77" priority="76">
      <formula>$E261=17</formula>
    </cfRule>
    <cfRule type="expression" dxfId="76" priority="77">
      <formula>$E261=16</formula>
    </cfRule>
    <cfRule type="expression" dxfId="75" priority="78">
      <formula>$E261=15</formula>
    </cfRule>
    <cfRule type="expression" dxfId="74" priority="79">
      <formula>$E261=14</formula>
    </cfRule>
    <cfRule type="expression" dxfId="73" priority="80">
      <formula>$E261=13</formula>
    </cfRule>
    <cfRule type="expression" dxfId="72" priority="81">
      <formula>$E261=12</formula>
    </cfRule>
  </conditionalFormatting>
  <conditionalFormatting sqref="H261">
    <cfRule type="expression" dxfId="71" priority="64">
      <formula>$E261=10</formula>
    </cfRule>
    <cfRule type="expression" dxfId="70" priority="65">
      <formula>$E261=11</formula>
    </cfRule>
    <cfRule type="expression" dxfId="69" priority="66">
      <formula>$E261=18</formula>
    </cfRule>
    <cfRule type="expression" dxfId="68" priority="67">
      <formula>$E261=17</formula>
    </cfRule>
    <cfRule type="expression" dxfId="67" priority="68">
      <formula>$E261=16</formula>
    </cfRule>
    <cfRule type="expression" dxfId="66" priority="69">
      <formula>$E261=15</formula>
    </cfRule>
    <cfRule type="expression" dxfId="65" priority="70">
      <formula>$E261=14</formula>
    </cfRule>
    <cfRule type="expression" dxfId="64" priority="71">
      <formula>$E261=13</formula>
    </cfRule>
    <cfRule type="expression" dxfId="63" priority="72">
      <formula>$E261=12</formula>
    </cfRule>
  </conditionalFormatting>
  <conditionalFormatting sqref="A258:AH260 C261:F427 AK258:IW260">
    <cfRule type="expression" dxfId="62" priority="55">
      <formula>$E258=10</formula>
    </cfRule>
    <cfRule type="expression" dxfId="61" priority="56">
      <formula>$E258=11</formula>
    </cfRule>
    <cfRule type="expression" dxfId="60" priority="57">
      <formula>$E258=18</formula>
    </cfRule>
    <cfRule type="expression" dxfId="59" priority="58">
      <formula>$E258=17</formula>
    </cfRule>
    <cfRule type="expression" dxfId="58" priority="59">
      <formula>$E258=16</formula>
    </cfRule>
    <cfRule type="expression" dxfId="57" priority="60">
      <formula>$E258=15</formula>
    </cfRule>
    <cfRule type="expression" dxfId="56" priority="61">
      <formula>$E258=14</formula>
    </cfRule>
    <cfRule type="expression" dxfId="55" priority="62">
      <formula>$E258=13</formula>
    </cfRule>
    <cfRule type="expression" dxfId="54" priority="63">
      <formula>$E258=12</formula>
    </cfRule>
  </conditionalFormatting>
  <conditionalFormatting sqref="A264:B264 J264 N264:AH264 L264 H264 AK264:XFD264">
    <cfRule type="expression" dxfId="53" priority="46">
      <formula>$E264=10</formula>
    </cfRule>
    <cfRule type="expression" dxfId="52" priority="47">
      <formula>$E264=11</formula>
    </cfRule>
    <cfRule type="expression" dxfId="51" priority="48">
      <formula>$E264=18</formula>
    </cfRule>
    <cfRule type="expression" dxfId="50" priority="49">
      <formula>$E264=17</formula>
    </cfRule>
    <cfRule type="expression" dxfId="49" priority="50">
      <formula>$E264=16</formula>
    </cfRule>
    <cfRule type="expression" dxfId="48" priority="51">
      <formula>$E264=15</formula>
    </cfRule>
    <cfRule type="expression" dxfId="47" priority="52">
      <formula>$E264=14</formula>
    </cfRule>
    <cfRule type="expression" dxfId="46" priority="53">
      <formula>$E264=13</formula>
    </cfRule>
    <cfRule type="expression" dxfId="45" priority="54">
      <formula>$E264=12</formula>
    </cfRule>
  </conditionalFormatting>
  <conditionalFormatting sqref="M264">
    <cfRule type="expression" dxfId="44" priority="37">
      <formula>$E264=10</formula>
    </cfRule>
    <cfRule type="expression" dxfId="43" priority="38">
      <formula>$E264=11</formula>
    </cfRule>
    <cfRule type="expression" dxfId="42" priority="39">
      <formula>$E264=18</formula>
    </cfRule>
    <cfRule type="expression" dxfId="41" priority="40">
      <formula>$E264=17</formula>
    </cfRule>
    <cfRule type="expression" dxfId="40" priority="41">
      <formula>$E264=16</formula>
    </cfRule>
    <cfRule type="expression" dxfId="39" priority="42">
      <formula>$E264=15</formula>
    </cfRule>
    <cfRule type="expression" dxfId="38" priority="43">
      <formula>$E264=14</formula>
    </cfRule>
    <cfRule type="expression" dxfId="37" priority="44">
      <formula>$E264=13</formula>
    </cfRule>
    <cfRule type="expression" dxfId="36" priority="45">
      <formula>$E264=12</formula>
    </cfRule>
  </conditionalFormatting>
  <conditionalFormatting sqref="K264">
    <cfRule type="expression" dxfId="35" priority="28">
      <formula>$E264=10</formula>
    </cfRule>
    <cfRule type="expression" dxfId="34" priority="29">
      <formula>$E264=11</formula>
    </cfRule>
    <cfRule type="expression" dxfId="33" priority="30">
      <formula>$E264=18</formula>
    </cfRule>
    <cfRule type="expression" dxfId="32" priority="31">
      <formula>$E264=17</formula>
    </cfRule>
    <cfRule type="expression" dxfId="31" priority="32">
      <formula>$E264=16</formula>
    </cfRule>
    <cfRule type="expression" dxfId="30" priority="33">
      <formula>$E264=15</formula>
    </cfRule>
    <cfRule type="expression" dxfId="29" priority="34">
      <formula>$E264=14</formula>
    </cfRule>
    <cfRule type="expression" dxfId="28" priority="35">
      <formula>$E264=13</formula>
    </cfRule>
    <cfRule type="expression" dxfId="27" priority="36">
      <formula>$E264=12</formula>
    </cfRule>
  </conditionalFormatting>
  <conditionalFormatting sqref="G264">
    <cfRule type="expression" dxfId="26" priority="19">
      <formula>$E264=10</formula>
    </cfRule>
    <cfRule type="expression" dxfId="25" priority="20">
      <formula>$E264=11</formula>
    </cfRule>
    <cfRule type="expression" dxfId="24" priority="21">
      <formula>$E264=18</formula>
    </cfRule>
    <cfRule type="expression" dxfId="23" priority="22">
      <formula>$E264=17</formula>
    </cfRule>
    <cfRule type="expression" dxfId="22" priority="23">
      <formula>$E264=16</formula>
    </cfRule>
    <cfRule type="expression" dxfId="21" priority="24">
      <formula>$E264=15</formula>
    </cfRule>
    <cfRule type="expression" dxfId="20" priority="25">
      <formula>$E264=14</formula>
    </cfRule>
    <cfRule type="expression" dxfId="19" priority="26">
      <formula>$E264=13</formula>
    </cfRule>
    <cfRule type="expression" dxfId="18" priority="27">
      <formula>$E264=12</formula>
    </cfRule>
  </conditionalFormatting>
  <conditionalFormatting sqref="C264:F264">
    <cfRule type="expression" dxfId="17" priority="10">
      <formula>$E264=10</formula>
    </cfRule>
    <cfRule type="expression" dxfId="16" priority="11">
      <formula>$E264=11</formula>
    </cfRule>
    <cfRule type="expression" dxfId="15" priority="12">
      <formula>$E264=18</formula>
    </cfRule>
    <cfRule type="expression" dxfId="14" priority="13">
      <formula>$E264=17</formula>
    </cfRule>
    <cfRule type="expression" dxfId="13" priority="14">
      <formula>$E264=16</formula>
    </cfRule>
    <cfRule type="expression" dxfId="12" priority="15">
      <formula>$E264=15</formula>
    </cfRule>
    <cfRule type="expression" dxfId="11" priority="16">
      <formula>$E264=14</formula>
    </cfRule>
    <cfRule type="expression" dxfId="10" priority="17">
      <formula>$E264=13</formula>
    </cfRule>
    <cfRule type="expression" dxfId="9" priority="18">
      <formula>$E264=12</formula>
    </cfRule>
  </conditionalFormatting>
  <conditionalFormatting sqref="K2:K427">
    <cfRule type="expression" dxfId="8" priority="1">
      <formula>$E2=10</formula>
    </cfRule>
    <cfRule type="expression" dxfId="7" priority="2">
      <formula>$E2=11</formula>
    </cfRule>
    <cfRule type="expression" dxfId="6" priority="3">
      <formula>$E2=18</formula>
    </cfRule>
    <cfRule type="expression" dxfId="5" priority="4">
      <formula>$E2=17</formula>
    </cfRule>
    <cfRule type="expression" dxfId="4" priority="5">
      <formula>$E2=16</formula>
    </cfRule>
    <cfRule type="expression" dxfId="3" priority="6">
      <formula>$E2=15</formula>
    </cfRule>
    <cfRule type="expression" dxfId="2" priority="7">
      <formula>$E2=14</formula>
    </cfRule>
    <cfRule type="expression" dxfId="1" priority="8">
      <formula>$E2=13</formula>
    </cfRule>
    <cfRule type="expression" dxfId="0" priority="9">
      <formula>$E2=12</formula>
    </cfRule>
  </conditionalFormatting>
  <hyperlinks>
    <hyperlink ref="I101" r:id="rId1" display="https://aes1.advancedeventsystems.com/Event/Volleyball/EventTeamInfo.aspx?ZCruShzPjMGv6cuivzEZ3bdHnxan7utPe-38b2URl8mzU62jttSjG3kENzzLrFO5DJ2gC4tYCpITNOPe7kWQLp22OSbVlCGBuLUYcUJcvMs1mfXaIumiL4opmJlO0to2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5</vt:i4>
      </vt:variant>
    </vt:vector>
  </HeadingPairs>
  <TitlesOfParts>
    <vt:vector size="18" baseType="lpstr">
      <vt:lpstr>Score Report Form</vt:lpstr>
      <vt:lpstr>Modified Rules - </vt:lpstr>
      <vt:lpstr>Facility Information</vt:lpstr>
      <vt:lpstr>AES teams</vt:lpstr>
      <vt:lpstr>RatingResultsSummary</vt:lpstr>
      <vt:lpstr>AM 9 Team Pool - Rnd 3</vt:lpstr>
      <vt:lpstr>AM 9 Team Pool - Rnd 2</vt:lpstr>
      <vt:lpstr>AM 9 Team Pool - Rnd 1</vt:lpstr>
      <vt:lpstr>11TmPM Rd 2</vt:lpstr>
      <vt:lpstr>11TmPM Rd 1</vt:lpstr>
      <vt:lpstr>Initial</vt:lpstr>
      <vt:lpstr>Final</vt:lpstr>
      <vt:lpstr>Final-PM</vt:lpstr>
      <vt:lpstr>'11TmPM Rd 1'!Print_Area</vt:lpstr>
      <vt:lpstr>'11TmPM Rd 2'!Print_Area</vt:lpstr>
      <vt:lpstr>'AM 9 Team Pool - Rnd 1'!Print_Area</vt:lpstr>
      <vt:lpstr>'AM 9 Team Pool - Rnd 2'!Print_Area</vt:lpstr>
      <vt:lpstr>'AM 9 Team Pool - Rnd 3'!Print_Area</vt:lpstr>
    </vt:vector>
  </TitlesOfParts>
  <Company>Michelin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Chip Moseley</dc:creator>
  <cp:lastModifiedBy>Lance</cp:lastModifiedBy>
  <cp:lastPrinted>2013-01-14T00:38:41Z</cp:lastPrinted>
  <dcterms:created xsi:type="dcterms:W3CDTF">2013-01-13T23:47:07Z</dcterms:created>
  <dcterms:modified xsi:type="dcterms:W3CDTF">2016-01-11T03:08:29Z</dcterms:modified>
</cp:coreProperties>
</file>